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9235730A-54BF-4859-824D-A4DB22FE5ACF}" xr6:coauthVersionLast="47" xr6:coauthVersionMax="47" xr10:uidLastSave="{00000000-0000-0000-0000-000000000000}"/>
  <bookViews>
    <workbookView xWindow="-120" yWindow="-120" windowWidth="20730" windowHeight="11160" tabRatio="975" xr2:uid="{00000000-000D-0000-FFFF-FFFF00000000}"/>
  </bookViews>
  <sheets>
    <sheet name="PERCENTUAIS" sheetId="21" r:id="rId1"/>
    <sheet name="VAL_ESTADOS" sheetId="8" r:id="rId2"/>
    <sheet name="ROYALTY_CAMPO" sheetId="3" r:id="rId3"/>
    <sheet name="EST_LEI 9478" sheetId="6" r:id="rId4"/>
    <sheet name="EST_ACORDO" sheetId="18" r:id="rId5"/>
    <sheet name="MUN_LEI 9478" sheetId="1" r:id="rId6"/>
    <sheet name="MUN_ACORDO" sheetId="19" r:id="rId7"/>
    <sheet name="PE" sheetId="11" r:id="rId8"/>
    <sheet name="FPE_FPM_9478" sheetId="9" r:id="rId9"/>
    <sheet name="FPE_FPM_ACORDO" sheetId="20" r:id="rId10"/>
    <sheet name="FPE_FPM_CONSOLIDADO" sheetId="26" r:id="rId11"/>
    <sheet name="CONSOLIDADO" sheetId="5" r:id="rId12"/>
    <sheet name="BÔNUS DE ASSINATURA" sheetId="27" r:id="rId13"/>
  </sheets>
  <definedNames>
    <definedName name="_xlnm.Print_Area" localSheetId="11">CONSOLIDADO!$A$35:$F$64</definedName>
  </definedNames>
  <calcPr calcId="125725" calcMode="manual" calcCompleted="0" calcOnSave="0"/>
</workbook>
</file>

<file path=xl/calcChain.xml><?xml version="1.0" encoding="utf-8"?>
<calcChain xmlns="http://schemas.openxmlformats.org/spreadsheetml/2006/main">
  <c r="D4" i="9" l="1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C31" i="9"/>
  <c r="D31" i="9"/>
  <c r="D3" i="11"/>
  <c r="B4" i="11"/>
  <c r="D4" i="11" s="1"/>
  <c r="C4" i="11"/>
  <c r="B5" i="11"/>
  <c r="C5" i="11"/>
  <c r="B7" i="11"/>
  <c r="D7" i="11" s="1"/>
  <c r="B8" i="11"/>
  <c r="C8" i="11"/>
  <c r="D8" i="11"/>
  <c r="D9" i="11"/>
  <c r="D10" i="11"/>
  <c r="B11" i="11"/>
  <c r="C11" i="11"/>
  <c r="D11" i="11" s="1"/>
  <c r="E92" i="3"/>
  <c r="G92" i="3" s="1"/>
  <c r="E93" i="3"/>
  <c r="E94" i="3"/>
  <c r="E95" i="3"/>
  <c r="E96" i="3"/>
  <c r="E97" i="3"/>
  <c r="D97" i="3"/>
  <c r="F97" i="3" s="1"/>
  <c r="D96" i="3"/>
  <c r="F96" i="3" s="1"/>
  <c r="D95" i="3"/>
  <c r="F95" i="3" s="1"/>
  <c r="D94" i="3"/>
  <c r="D93" i="3"/>
  <c r="F93" i="3" s="1"/>
  <c r="D92" i="3"/>
  <c r="G93" i="3"/>
  <c r="F94" i="3"/>
  <c r="G94" i="3"/>
  <c r="G95" i="3"/>
  <c r="G96" i="3"/>
  <c r="G97" i="3"/>
  <c r="F92" i="3"/>
  <c r="D5" i="11" l="1"/>
  <c r="R31" i="5" l="1"/>
  <c r="D165" i="5"/>
  <c r="D167" i="5"/>
  <c r="C168" i="5"/>
  <c r="D168" i="5"/>
  <c r="C170" i="5"/>
  <c r="D170" i="5"/>
  <c r="D172" i="5"/>
  <c r="C173" i="5"/>
  <c r="D173" i="5"/>
  <c r="C174" i="5"/>
  <c r="D174" i="5"/>
  <c r="D175" i="5"/>
  <c r="D176" i="5"/>
  <c r="D177" i="5"/>
  <c r="C178" i="5"/>
  <c r="D178" i="5"/>
  <c r="D179" i="5"/>
  <c r="C182" i="5"/>
  <c r="D182" i="5"/>
  <c r="C183" i="5"/>
  <c r="D183" i="5"/>
  <c r="D184" i="5"/>
  <c r="D185" i="5"/>
  <c r="C188" i="5"/>
  <c r="D188" i="5"/>
  <c r="D162" i="5"/>
  <c r="C162" i="5"/>
  <c r="D134" i="5"/>
  <c r="D136" i="5"/>
  <c r="C137" i="5"/>
  <c r="D137" i="5"/>
  <c r="C139" i="5"/>
  <c r="D139" i="5"/>
  <c r="D141" i="5"/>
  <c r="C142" i="5"/>
  <c r="D142" i="5"/>
  <c r="C143" i="5"/>
  <c r="D143" i="5"/>
  <c r="D144" i="5"/>
  <c r="D145" i="5"/>
  <c r="D146" i="5"/>
  <c r="C147" i="5"/>
  <c r="D147" i="5"/>
  <c r="D148" i="5"/>
  <c r="C151" i="5"/>
  <c r="D151" i="5"/>
  <c r="C152" i="5"/>
  <c r="D152" i="5"/>
  <c r="D153" i="5"/>
  <c r="D154" i="5"/>
  <c r="C157" i="5"/>
  <c r="D157" i="5"/>
  <c r="D131" i="5"/>
  <c r="C131" i="5"/>
  <c r="D101" i="5"/>
  <c r="C103" i="5"/>
  <c r="D103" i="5"/>
  <c r="D105" i="5"/>
  <c r="C106" i="5"/>
  <c r="D106" i="5"/>
  <c r="C108" i="5"/>
  <c r="D108" i="5"/>
  <c r="C110" i="5"/>
  <c r="D110" i="5"/>
  <c r="C111" i="5"/>
  <c r="D111" i="5"/>
  <c r="C112" i="5"/>
  <c r="D112" i="5"/>
  <c r="C113" i="5"/>
  <c r="D113" i="5"/>
  <c r="C114" i="5"/>
  <c r="D114" i="5"/>
  <c r="C115" i="5"/>
  <c r="D115" i="5"/>
  <c r="C116" i="5"/>
  <c r="D116" i="5"/>
  <c r="D117" i="5"/>
  <c r="C120" i="5"/>
  <c r="D120" i="5"/>
  <c r="C121" i="5"/>
  <c r="D121" i="5"/>
  <c r="C122" i="5"/>
  <c r="D122" i="5"/>
  <c r="C123" i="5"/>
  <c r="D123" i="5"/>
  <c r="C126" i="5"/>
  <c r="D126" i="5"/>
  <c r="D100" i="5"/>
  <c r="C100" i="5"/>
  <c r="C72" i="5"/>
  <c r="D72" i="5"/>
  <c r="D74" i="5"/>
  <c r="C75" i="5"/>
  <c r="D75" i="5"/>
  <c r="C77" i="5"/>
  <c r="D77" i="5"/>
  <c r="C79" i="5"/>
  <c r="D79" i="5"/>
  <c r="C80" i="5"/>
  <c r="D80" i="5"/>
  <c r="C81" i="5"/>
  <c r="D81" i="5"/>
  <c r="C82" i="5"/>
  <c r="D82" i="5"/>
  <c r="C83" i="5"/>
  <c r="D83" i="5"/>
  <c r="C84" i="5"/>
  <c r="D84" i="5"/>
  <c r="C85" i="5"/>
  <c r="D85" i="5"/>
  <c r="D86" i="5"/>
  <c r="C89" i="5"/>
  <c r="D89" i="5"/>
  <c r="C90" i="5"/>
  <c r="D90" i="5"/>
  <c r="C91" i="5"/>
  <c r="D91" i="5"/>
  <c r="C92" i="5"/>
  <c r="D92" i="5"/>
  <c r="C95" i="5"/>
  <c r="D95" i="5"/>
  <c r="D69" i="5"/>
  <c r="C69" i="5"/>
  <c r="P158" i="27"/>
  <c r="O158" i="27"/>
  <c r="N158" i="27"/>
  <c r="M158" i="27"/>
  <c r="L158" i="27"/>
  <c r="K158" i="27"/>
  <c r="J158" i="27"/>
  <c r="H157" i="27"/>
  <c r="I157" i="27"/>
  <c r="J157" i="27"/>
  <c r="K157" i="27"/>
  <c r="L157" i="27"/>
  <c r="M157" i="27"/>
  <c r="N157" i="27"/>
  <c r="O157" i="27"/>
  <c r="P157" i="27"/>
  <c r="H155" i="27"/>
  <c r="I155" i="27"/>
  <c r="J155" i="27"/>
  <c r="K155" i="27"/>
  <c r="L155" i="27"/>
  <c r="M155" i="27"/>
  <c r="N155" i="27"/>
  <c r="O155" i="27"/>
  <c r="P155" i="27" s="1"/>
  <c r="H156" i="27"/>
  <c r="I156" i="27"/>
  <c r="J156" i="27"/>
  <c r="K156" i="27"/>
  <c r="L156" i="27"/>
  <c r="M156" i="27"/>
  <c r="N156" i="27"/>
  <c r="O156" i="27"/>
  <c r="P156" i="27" s="1"/>
  <c r="H150" i="27"/>
  <c r="I150" i="27"/>
  <c r="J150" i="27"/>
  <c r="K150" i="27"/>
  <c r="L150" i="27"/>
  <c r="M150" i="27"/>
  <c r="N150" i="27"/>
  <c r="O150" i="27"/>
  <c r="P150" i="27"/>
  <c r="H151" i="27"/>
  <c r="I151" i="27"/>
  <c r="J151" i="27"/>
  <c r="K151" i="27"/>
  <c r="L151" i="27"/>
  <c r="M151" i="27"/>
  <c r="N151" i="27"/>
  <c r="O151" i="27"/>
  <c r="P151" i="27" s="1"/>
  <c r="H152" i="27"/>
  <c r="I152" i="27"/>
  <c r="J152" i="27"/>
  <c r="K152" i="27"/>
  <c r="L152" i="27"/>
  <c r="M152" i="27"/>
  <c r="N152" i="27"/>
  <c r="O152" i="27"/>
  <c r="P152" i="27" s="1"/>
  <c r="H153" i="27"/>
  <c r="I153" i="27"/>
  <c r="J153" i="27"/>
  <c r="K153" i="27"/>
  <c r="L153" i="27"/>
  <c r="M153" i="27"/>
  <c r="N153" i="27"/>
  <c r="O153" i="27"/>
  <c r="P153" i="27" s="1"/>
  <c r="H154" i="27"/>
  <c r="I154" i="27"/>
  <c r="J154" i="27"/>
  <c r="K154" i="27"/>
  <c r="L154" i="27"/>
  <c r="M154" i="27"/>
  <c r="N154" i="27"/>
  <c r="O154" i="27"/>
  <c r="P154" i="27"/>
  <c r="H132" i="27"/>
  <c r="I132" i="27"/>
  <c r="J132" i="27"/>
  <c r="K132" i="27"/>
  <c r="L132" i="27"/>
  <c r="M132" i="27"/>
  <c r="N132" i="27"/>
  <c r="O132" i="27"/>
  <c r="P132" i="27"/>
  <c r="H133" i="27"/>
  <c r="I133" i="27"/>
  <c r="J133" i="27"/>
  <c r="K133" i="27"/>
  <c r="L133" i="27"/>
  <c r="M133" i="27"/>
  <c r="N133" i="27"/>
  <c r="O133" i="27"/>
  <c r="P133" i="27" s="1"/>
  <c r="H134" i="27"/>
  <c r="I134" i="27"/>
  <c r="J134" i="27"/>
  <c r="K134" i="27"/>
  <c r="L134" i="27"/>
  <c r="M134" i="27"/>
  <c r="N134" i="27"/>
  <c r="O134" i="27"/>
  <c r="P134" i="27" s="1"/>
  <c r="H135" i="27"/>
  <c r="I135" i="27"/>
  <c r="J135" i="27"/>
  <c r="K135" i="27"/>
  <c r="L135" i="27"/>
  <c r="M135" i="27"/>
  <c r="N135" i="27"/>
  <c r="O135" i="27"/>
  <c r="P135" i="27" s="1"/>
  <c r="H136" i="27"/>
  <c r="I136" i="27"/>
  <c r="J136" i="27"/>
  <c r="K136" i="27"/>
  <c r="L136" i="27"/>
  <c r="M136" i="27"/>
  <c r="N136" i="27"/>
  <c r="O136" i="27"/>
  <c r="P136" i="27"/>
  <c r="H137" i="27"/>
  <c r="I137" i="27"/>
  <c r="J137" i="27"/>
  <c r="K137" i="27"/>
  <c r="L137" i="27"/>
  <c r="M137" i="27"/>
  <c r="N137" i="27"/>
  <c r="O137" i="27"/>
  <c r="P137" i="27" s="1"/>
  <c r="H138" i="27"/>
  <c r="I138" i="27"/>
  <c r="J138" i="27"/>
  <c r="K138" i="27"/>
  <c r="L138" i="27"/>
  <c r="M138" i="27"/>
  <c r="N138" i="27"/>
  <c r="O138" i="27"/>
  <c r="P138" i="27" s="1"/>
  <c r="H139" i="27"/>
  <c r="I139" i="27"/>
  <c r="J139" i="27"/>
  <c r="K139" i="27"/>
  <c r="L139" i="27"/>
  <c r="M139" i="27"/>
  <c r="N139" i="27"/>
  <c r="O139" i="27"/>
  <c r="P139" i="27" s="1"/>
  <c r="H140" i="27"/>
  <c r="I140" i="27"/>
  <c r="J140" i="27"/>
  <c r="K140" i="27"/>
  <c r="L140" i="27"/>
  <c r="M140" i="27"/>
  <c r="N140" i="27"/>
  <c r="O140" i="27"/>
  <c r="P140" i="27"/>
  <c r="H141" i="27"/>
  <c r="I141" i="27"/>
  <c r="J141" i="27"/>
  <c r="K141" i="27"/>
  <c r="L141" i="27"/>
  <c r="M141" i="27"/>
  <c r="N141" i="27"/>
  <c r="O141" i="27"/>
  <c r="P141" i="27" s="1"/>
  <c r="H142" i="27"/>
  <c r="I142" i="27"/>
  <c r="J142" i="27"/>
  <c r="K142" i="27"/>
  <c r="L142" i="27"/>
  <c r="M142" i="27"/>
  <c r="N142" i="27"/>
  <c r="O142" i="27"/>
  <c r="P142" i="27" s="1"/>
  <c r="H143" i="27"/>
  <c r="I143" i="27"/>
  <c r="J143" i="27"/>
  <c r="K143" i="27"/>
  <c r="L143" i="27"/>
  <c r="M143" i="27"/>
  <c r="N143" i="27"/>
  <c r="O143" i="27"/>
  <c r="P143" i="27" s="1"/>
  <c r="H144" i="27"/>
  <c r="I144" i="27"/>
  <c r="J144" i="27"/>
  <c r="K144" i="27"/>
  <c r="L144" i="27"/>
  <c r="M144" i="27"/>
  <c r="N144" i="27"/>
  <c r="O144" i="27"/>
  <c r="P144" i="27"/>
  <c r="H145" i="27"/>
  <c r="I145" i="27"/>
  <c r="J145" i="27"/>
  <c r="K145" i="27"/>
  <c r="L145" i="27"/>
  <c r="M145" i="27"/>
  <c r="N145" i="27"/>
  <c r="O145" i="27"/>
  <c r="P145" i="27" s="1"/>
  <c r="H146" i="27"/>
  <c r="I146" i="27"/>
  <c r="J146" i="27"/>
  <c r="K146" i="27"/>
  <c r="L146" i="27"/>
  <c r="M146" i="27"/>
  <c r="N146" i="27"/>
  <c r="O146" i="27"/>
  <c r="P146" i="27" s="1"/>
  <c r="H147" i="27"/>
  <c r="I147" i="27"/>
  <c r="J147" i="27"/>
  <c r="K147" i="27"/>
  <c r="L147" i="27"/>
  <c r="M147" i="27"/>
  <c r="N147" i="27"/>
  <c r="O147" i="27"/>
  <c r="P147" i="27" s="1"/>
  <c r="H148" i="27"/>
  <c r="I148" i="27"/>
  <c r="J148" i="27"/>
  <c r="K148" i="27"/>
  <c r="L148" i="27"/>
  <c r="M148" i="27"/>
  <c r="N148" i="27"/>
  <c r="O148" i="27"/>
  <c r="P148" i="27"/>
  <c r="H149" i="27"/>
  <c r="I149" i="27"/>
  <c r="J149" i="27"/>
  <c r="K149" i="27"/>
  <c r="L149" i="27"/>
  <c r="M149" i="27"/>
  <c r="N149" i="27"/>
  <c r="O149" i="27"/>
  <c r="P149" i="27" s="1"/>
  <c r="P131" i="27"/>
  <c r="K131" i="27"/>
  <c r="L131" i="27"/>
  <c r="M131" i="27"/>
  <c r="N131" i="27"/>
  <c r="O131" i="27"/>
  <c r="J131" i="27"/>
  <c r="I131" i="27"/>
  <c r="H131" i="27"/>
  <c r="P126" i="27"/>
  <c r="O126" i="27"/>
  <c r="N126" i="27"/>
  <c r="M126" i="27"/>
  <c r="L126" i="27"/>
  <c r="K126" i="27"/>
  <c r="J126" i="27"/>
  <c r="H120" i="27"/>
  <c r="I120" i="27"/>
  <c r="J120" i="27"/>
  <c r="K120" i="27"/>
  <c r="L120" i="27"/>
  <c r="M120" i="27"/>
  <c r="N120" i="27"/>
  <c r="O120" i="27"/>
  <c r="P120" i="27"/>
  <c r="H121" i="27"/>
  <c r="I121" i="27"/>
  <c r="J121" i="27"/>
  <c r="K121" i="27"/>
  <c r="L121" i="27"/>
  <c r="M121" i="27"/>
  <c r="N121" i="27"/>
  <c r="O121" i="27"/>
  <c r="P121" i="27" s="1"/>
  <c r="H122" i="27"/>
  <c r="I122" i="27"/>
  <c r="J122" i="27"/>
  <c r="K122" i="27"/>
  <c r="L122" i="27"/>
  <c r="M122" i="27"/>
  <c r="N122" i="27"/>
  <c r="O122" i="27"/>
  <c r="P122" i="27" s="1"/>
  <c r="H123" i="27"/>
  <c r="I123" i="27"/>
  <c r="J123" i="27"/>
  <c r="K123" i="27"/>
  <c r="L123" i="27"/>
  <c r="M123" i="27"/>
  <c r="N123" i="27"/>
  <c r="O123" i="27"/>
  <c r="P123" i="27" s="1"/>
  <c r="H124" i="27"/>
  <c r="I124" i="27"/>
  <c r="J124" i="27"/>
  <c r="K124" i="27"/>
  <c r="L124" i="27"/>
  <c r="M124" i="27"/>
  <c r="N124" i="27"/>
  <c r="O124" i="27"/>
  <c r="P124" i="27" s="1"/>
  <c r="H125" i="27"/>
  <c r="I125" i="27"/>
  <c r="J125" i="27"/>
  <c r="K125" i="27"/>
  <c r="L125" i="27"/>
  <c r="M125" i="27"/>
  <c r="N125" i="27"/>
  <c r="O125" i="27"/>
  <c r="H100" i="27"/>
  <c r="I100" i="27"/>
  <c r="J100" i="27"/>
  <c r="K100" i="27"/>
  <c r="L100" i="27"/>
  <c r="M100" i="27"/>
  <c r="N100" i="27"/>
  <c r="O100" i="27"/>
  <c r="P100" i="27"/>
  <c r="H101" i="27"/>
  <c r="I101" i="27"/>
  <c r="J101" i="27"/>
  <c r="K101" i="27"/>
  <c r="L101" i="27"/>
  <c r="M101" i="27"/>
  <c r="N101" i="27"/>
  <c r="O101" i="27"/>
  <c r="P101" i="27" s="1"/>
  <c r="H102" i="27"/>
  <c r="I102" i="27"/>
  <c r="J102" i="27"/>
  <c r="K102" i="27"/>
  <c r="L102" i="27"/>
  <c r="M102" i="27"/>
  <c r="N102" i="27"/>
  <c r="O102" i="27"/>
  <c r="P102" i="27" s="1"/>
  <c r="H103" i="27"/>
  <c r="I103" i="27"/>
  <c r="J103" i="27"/>
  <c r="K103" i="27"/>
  <c r="L103" i="27"/>
  <c r="M103" i="27"/>
  <c r="N103" i="27"/>
  <c r="O103" i="27"/>
  <c r="P103" i="27" s="1"/>
  <c r="H104" i="27"/>
  <c r="I104" i="27"/>
  <c r="J104" i="27"/>
  <c r="K104" i="27"/>
  <c r="L104" i="27"/>
  <c r="M104" i="27"/>
  <c r="N104" i="27"/>
  <c r="O104" i="27"/>
  <c r="P104" i="27"/>
  <c r="H105" i="27"/>
  <c r="I105" i="27"/>
  <c r="J105" i="27"/>
  <c r="K105" i="27"/>
  <c r="L105" i="27"/>
  <c r="M105" i="27"/>
  <c r="N105" i="27"/>
  <c r="O105" i="27"/>
  <c r="P105" i="27" s="1"/>
  <c r="H106" i="27"/>
  <c r="I106" i="27"/>
  <c r="J106" i="27"/>
  <c r="K106" i="27"/>
  <c r="L106" i="27"/>
  <c r="M106" i="27"/>
  <c r="N106" i="27"/>
  <c r="O106" i="27"/>
  <c r="P106" i="27" s="1"/>
  <c r="H107" i="27"/>
  <c r="I107" i="27"/>
  <c r="J107" i="27"/>
  <c r="K107" i="27"/>
  <c r="L107" i="27"/>
  <c r="M107" i="27"/>
  <c r="N107" i="27"/>
  <c r="O107" i="27"/>
  <c r="P107" i="27" s="1"/>
  <c r="H108" i="27"/>
  <c r="I108" i="27"/>
  <c r="J108" i="27"/>
  <c r="K108" i="27"/>
  <c r="L108" i="27"/>
  <c r="M108" i="27"/>
  <c r="N108" i="27"/>
  <c r="O108" i="27"/>
  <c r="P108" i="27"/>
  <c r="H109" i="27"/>
  <c r="I109" i="27"/>
  <c r="J109" i="27"/>
  <c r="K109" i="27"/>
  <c r="L109" i="27"/>
  <c r="M109" i="27"/>
  <c r="N109" i="27"/>
  <c r="O109" i="27"/>
  <c r="P109" i="27" s="1"/>
  <c r="H110" i="27"/>
  <c r="I110" i="27"/>
  <c r="J110" i="27"/>
  <c r="K110" i="27"/>
  <c r="L110" i="27"/>
  <c r="M110" i="27"/>
  <c r="N110" i="27"/>
  <c r="O110" i="27"/>
  <c r="P110" i="27" s="1"/>
  <c r="H111" i="27"/>
  <c r="I111" i="27"/>
  <c r="J111" i="27"/>
  <c r="K111" i="27"/>
  <c r="L111" i="27"/>
  <c r="M111" i="27"/>
  <c r="N111" i="27"/>
  <c r="O111" i="27"/>
  <c r="P111" i="27" s="1"/>
  <c r="H112" i="27"/>
  <c r="I112" i="27"/>
  <c r="J112" i="27"/>
  <c r="K112" i="27"/>
  <c r="L112" i="27"/>
  <c r="M112" i="27"/>
  <c r="N112" i="27"/>
  <c r="O112" i="27"/>
  <c r="P112" i="27"/>
  <c r="H113" i="27"/>
  <c r="I113" i="27"/>
  <c r="J113" i="27"/>
  <c r="K113" i="27"/>
  <c r="L113" i="27"/>
  <c r="M113" i="27"/>
  <c r="N113" i="27"/>
  <c r="O113" i="27"/>
  <c r="P113" i="27" s="1"/>
  <c r="H114" i="27"/>
  <c r="I114" i="27"/>
  <c r="J114" i="27"/>
  <c r="K114" i="27"/>
  <c r="L114" i="27"/>
  <c r="M114" i="27"/>
  <c r="N114" i="27"/>
  <c r="O114" i="27"/>
  <c r="P114" i="27" s="1"/>
  <c r="H115" i="27"/>
  <c r="I115" i="27"/>
  <c r="J115" i="27"/>
  <c r="K115" i="27"/>
  <c r="L115" i="27"/>
  <c r="M115" i="27"/>
  <c r="P115" i="27" s="1"/>
  <c r="N115" i="27"/>
  <c r="O115" i="27"/>
  <c r="H116" i="27"/>
  <c r="I116" i="27"/>
  <c r="J116" i="27"/>
  <c r="K116" i="27"/>
  <c r="L116" i="27"/>
  <c r="M116" i="27"/>
  <c r="N116" i="27"/>
  <c r="O116" i="27"/>
  <c r="P116" i="27"/>
  <c r="H117" i="27"/>
  <c r="I117" i="27"/>
  <c r="J117" i="27"/>
  <c r="K117" i="27"/>
  <c r="L117" i="27"/>
  <c r="M117" i="27"/>
  <c r="N117" i="27"/>
  <c r="O117" i="27"/>
  <c r="P117" i="27" s="1"/>
  <c r="H118" i="27"/>
  <c r="I118" i="27"/>
  <c r="J118" i="27"/>
  <c r="K118" i="27"/>
  <c r="L118" i="27"/>
  <c r="M118" i="27"/>
  <c r="N118" i="27"/>
  <c r="O118" i="27"/>
  <c r="P118" i="27" s="1"/>
  <c r="H119" i="27"/>
  <c r="I119" i="27"/>
  <c r="J119" i="27"/>
  <c r="K119" i="27"/>
  <c r="L119" i="27"/>
  <c r="M119" i="27"/>
  <c r="P119" i="27" s="1"/>
  <c r="N119" i="27"/>
  <c r="O119" i="27"/>
  <c r="P99" i="27"/>
  <c r="K99" i="27"/>
  <c r="L99" i="27"/>
  <c r="M99" i="27"/>
  <c r="N99" i="27"/>
  <c r="O99" i="27"/>
  <c r="J99" i="27"/>
  <c r="I99" i="27"/>
  <c r="H99" i="27"/>
  <c r="K94" i="27"/>
  <c r="L94" i="27"/>
  <c r="M94" i="27"/>
  <c r="J94" i="27"/>
  <c r="H68" i="27"/>
  <c r="I68" i="27"/>
  <c r="J68" i="27"/>
  <c r="K68" i="27"/>
  <c r="L68" i="27"/>
  <c r="M68" i="27"/>
  <c r="H69" i="27"/>
  <c r="I69" i="27"/>
  <c r="J69" i="27"/>
  <c r="K69" i="27"/>
  <c r="L69" i="27"/>
  <c r="M69" i="27"/>
  <c r="H70" i="27"/>
  <c r="I70" i="27"/>
  <c r="J70" i="27"/>
  <c r="K70" i="27"/>
  <c r="L70" i="27"/>
  <c r="M70" i="27"/>
  <c r="H71" i="27"/>
  <c r="I71" i="27"/>
  <c r="J71" i="27"/>
  <c r="K71" i="27"/>
  <c r="L71" i="27"/>
  <c r="M71" i="27"/>
  <c r="H72" i="27"/>
  <c r="I72" i="27"/>
  <c r="J72" i="27"/>
  <c r="K72" i="27"/>
  <c r="L72" i="27"/>
  <c r="M72" i="27"/>
  <c r="H73" i="27"/>
  <c r="I73" i="27"/>
  <c r="J73" i="27"/>
  <c r="K73" i="27"/>
  <c r="L73" i="27"/>
  <c r="M73" i="27"/>
  <c r="H74" i="27"/>
  <c r="I74" i="27"/>
  <c r="J74" i="27"/>
  <c r="K74" i="27"/>
  <c r="L74" i="27"/>
  <c r="M74" i="27"/>
  <c r="H75" i="27"/>
  <c r="I75" i="27"/>
  <c r="J75" i="27"/>
  <c r="K75" i="27"/>
  <c r="L75" i="27"/>
  <c r="M75" i="27"/>
  <c r="H76" i="27"/>
  <c r="I76" i="27"/>
  <c r="J76" i="27"/>
  <c r="K76" i="27"/>
  <c r="L76" i="27"/>
  <c r="M76" i="27"/>
  <c r="H77" i="27"/>
  <c r="I77" i="27"/>
  <c r="J77" i="27"/>
  <c r="K77" i="27"/>
  <c r="L77" i="27"/>
  <c r="M77" i="27"/>
  <c r="H78" i="27"/>
  <c r="I78" i="27"/>
  <c r="J78" i="27"/>
  <c r="K78" i="27"/>
  <c r="L78" i="27"/>
  <c r="M78" i="27"/>
  <c r="H79" i="27"/>
  <c r="I79" i="27"/>
  <c r="J79" i="27"/>
  <c r="K79" i="27"/>
  <c r="L79" i="27"/>
  <c r="M79" i="27"/>
  <c r="H80" i="27"/>
  <c r="I80" i="27"/>
  <c r="J80" i="27"/>
  <c r="K80" i="27"/>
  <c r="L80" i="27"/>
  <c r="M80" i="27"/>
  <c r="H81" i="27"/>
  <c r="I81" i="27"/>
  <c r="J81" i="27"/>
  <c r="K81" i="27"/>
  <c r="L81" i="27"/>
  <c r="M81" i="27"/>
  <c r="H82" i="27"/>
  <c r="I82" i="27"/>
  <c r="J82" i="27"/>
  <c r="K82" i="27"/>
  <c r="L82" i="27"/>
  <c r="M82" i="27"/>
  <c r="H83" i="27"/>
  <c r="I83" i="27"/>
  <c r="J83" i="27"/>
  <c r="K83" i="27"/>
  <c r="L83" i="27"/>
  <c r="M83" i="27"/>
  <c r="H84" i="27"/>
  <c r="I84" i="27"/>
  <c r="J84" i="27"/>
  <c r="K84" i="27"/>
  <c r="L84" i="27"/>
  <c r="M84" i="27"/>
  <c r="H85" i="27"/>
  <c r="I85" i="27"/>
  <c r="J85" i="27"/>
  <c r="K85" i="27"/>
  <c r="L85" i="27"/>
  <c r="M85" i="27"/>
  <c r="H86" i="27"/>
  <c r="I86" i="27"/>
  <c r="J86" i="27"/>
  <c r="K86" i="27"/>
  <c r="L86" i="27"/>
  <c r="M86" i="27"/>
  <c r="H87" i="27"/>
  <c r="I87" i="27"/>
  <c r="J87" i="27"/>
  <c r="K87" i="27"/>
  <c r="L87" i="27"/>
  <c r="M87" i="27"/>
  <c r="H88" i="27"/>
  <c r="I88" i="27"/>
  <c r="J88" i="27"/>
  <c r="K88" i="27"/>
  <c r="L88" i="27"/>
  <c r="M88" i="27"/>
  <c r="H89" i="27"/>
  <c r="I89" i="27"/>
  <c r="J89" i="27"/>
  <c r="K89" i="27"/>
  <c r="L89" i="27"/>
  <c r="M89" i="27"/>
  <c r="H90" i="27"/>
  <c r="I90" i="27"/>
  <c r="J90" i="27"/>
  <c r="K90" i="27"/>
  <c r="L90" i="27"/>
  <c r="M90" i="27"/>
  <c r="H91" i="27"/>
  <c r="I91" i="27"/>
  <c r="J91" i="27"/>
  <c r="K91" i="27"/>
  <c r="L91" i="27"/>
  <c r="M91" i="27"/>
  <c r="H92" i="27"/>
  <c r="I92" i="27"/>
  <c r="J92" i="27"/>
  <c r="K92" i="27"/>
  <c r="L92" i="27"/>
  <c r="M92" i="27"/>
  <c r="H93" i="27"/>
  <c r="I93" i="27"/>
  <c r="J93" i="27"/>
  <c r="K93" i="27"/>
  <c r="L93" i="27"/>
  <c r="M93" i="27"/>
  <c r="M67" i="27"/>
  <c r="L67" i="27"/>
  <c r="I67" i="27"/>
  <c r="H67" i="27"/>
  <c r="K67" i="27"/>
  <c r="J67" i="27"/>
  <c r="W36" i="27"/>
  <c r="Q61" i="27"/>
  <c r="O61" i="27"/>
  <c r="M61" i="27"/>
  <c r="K61" i="27"/>
  <c r="J61" i="27"/>
  <c r="Q30" i="27"/>
  <c r="O30" i="27"/>
  <c r="M30" i="27"/>
  <c r="K30" i="27"/>
  <c r="J30" i="27"/>
  <c r="D24" i="27"/>
  <c r="E33" i="27" s="1"/>
  <c r="E34" i="27" s="1"/>
  <c r="D23" i="27"/>
  <c r="D33" i="27" s="1"/>
  <c r="D22" i="27"/>
  <c r="D21" i="27"/>
  <c r="D20" i="27"/>
  <c r="D19" i="27"/>
  <c r="D31" i="27" s="1"/>
  <c r="D18" i="27"/>
  <c r="D27" i="27" s="1"/>
  <c r="D16" i="27"/>
  <c r="C33" i="27" s="1"/>
  <c r="D15" i="27"/>
  <c r="C32" i="27" s="1"/>
  <c r="D14" i="27"/>
  <c r="C31" i="27" s="1"/>
  <c r="D13" i="27"/>
  <c r="C29" i="27" s="1"/>
  <c r="D12" i="27"/>
  <c r="C27" i="27" s="1"/>
  <c r="D11" i="27"/>
  <c r="D10" i="27"/>
  <c r="D9" i="27"/>
  <c r="D8" i="27"/>
  <c r="D7" i="27"/>
  <c r="D6" i="27"/>
  <c r="D5" i="27"/>
  <c r="D4" i="27"/>
  <c r="D3" i="27"/>
  <c r="D2" i="27"/>
  <c r="V5" i="26"/>
  <c r="V6" i="26"/>
  <c r="V7" i="26"/>
  <c r="V8" i="26"/>
  <c r="V9" i="26"/>
  <c r="V10" i="26"/>
  <c r="V11" i="26"/>
  <c r="V12" i="26"/>
  <c r="V13" i="26"/>
  <c r="V14" i="26"/>
  <c r="V15" i="26"/>
  <c r="V16" i="26"/>
  <c r="V17" i="26"/>
  <c r="V18" i="26"/>
  <c r="V19" i="26"/>
  <c r="V20" i="26"/>
  <c r="V21" i="26"/>
  <c r="V22" i="26"/>
  <c r="V23" i="26"/>
  <c r="V24" i="26"/>
  <c r="V25" i="26"/>
  <c r="V26" i="26"/>
  <c r="V27" i="26"/>
  <c r="V28" i="26"/>
  <c r="V29" i="26"/>
  <c r="V30" i="26"/>
  <c r="V4" i="26"/>
  <c r="T36" i="26"/>
  <c r="T37" i="26"/>
  <c r="T38" i="26"/>
  <c r="T39" i="26"/>
  <c r="T40" i="26"/>
  <c r="T41" i="26"/>
  <c r="T42" i="26"/>
  <c r="T43" i="26"/>
  <c r="T44" i="26"/>
  <c r="T45" i="26"/>
  <c r="T46" i="26"/>
  <c r="T47" i="26"/>
  <c r="T48" i="26"/>
  <c r="T49" i="26"/>
  <c r="T50" i="26"/>
  <c r="T51" i="26"/>
  <c r="T52" i="26"/>
  <c r="T53" i="26"/>
  <c r="T54" i="26"/>
  <c r="T55" i="26"/>
  <c r="T56" i="26"/>
  <c r="T57" i="26"/>
  <c r="T58" i="26"/>
  <c r="T59" i="26"/>
  <c r="T60" i="26"/>
  <c r="T61" i="26"/>
  <c r="R61" i="26"/>
  <c r="R36" i="26"/>
  <c r="R37" i="26"/>
  <c r="R38" i="26"/>
  <c r="R39" i="26"/>
  <c r="R40" i="26"/>
  <c r="R41" i="26"/>
  <c r="R42" i="26"/>
  <c r="R43" i="26"/>
  <c r="R44" i="26"/>
  <c r="R45" i="26"/>
  <c r="R46" i="26"/>
  <c r="R47" i="26"/>
  <c r="R48" i="26"/>
  <c r="R49" i="26"/>
  <c r="R50" i="26"/>
  <c r="R51" i="26"/>
  <c r="R52" i="26"/>
  <c r="R53" i="26"/>
  <c r="R54" i="26"/>
  <c r="R55" i="26"/>
  <c r="R56" i="26"/>
  <c r="R57" i="26"/>
  <c r="R58" i="26"/>
  <c r="R59" i="26"/>
  <c r="R60" i="26"/>
  <c r="T35" i="26"/>
  <c r="T62" i="26" s="1"/>
  <c r="R35" i="26"/>
  <c r="R62" i="26" s="1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35" i="26"/>
  <c r="T5" i="26"/>
  <c r="U5" i="26"/>
  <c r="T6" i="26"/>
  <c r="U6" i="26"/>
  <c r="T7" i="26"/>
  <c r="U7" i="26"/>
  <c r="T8" i="26"/>
  <c r="U8" i="26"/>
  <c r="T9" i="26"/>
  <c r="U9" i="26"/>
  <c r="T10" i="26"/>
  <c r="U10" i="26"/>
  <c r="T11" i="26"/>
  <c r="U11" i="26"/>
  <c r="T12" i="26"/>
  <c r="U12" i="26"/>
  <c r="T13" i="26"/>
  <c r="U13" i="26"/>
  <c r="T14" i="26"/>
  <c r="U14" i="26"/>
  <c r="T15" i="26"/>
  <c r="U15" i="26"/>
  <c r="T16" i="26"/>
  <c r="U16" i="26"/>
  <c r="T17" i="26"/>
  <c r="U17" i="26"/>
  <c r="T18" i="26"/>
  <c r="U18" i="26"/>
  <c r="T19" i="26"/>
  <c r="U19" i="26"/>
  <c r="T20" i="26"/>
  <c r="U20" i="26"/>
  <c r="T21" i="26"/>
  <c r="U21" i="26"/>
  <c r="T22" i="26"/>
  <c r="U22" i="26"/>
  <c r="T23" i="26"/>
  <c r="U23" i="26"/>
  <c r="T24" i="26"/>
  <c r="U24" i="26"/>
  <c r="T25" i="26"/>
  <c r="U25" i="26"/>
  <c r="T26" i="26"/>
  <c r="U26" i="26"/>
  <c r="T27" i="26"/>
  <c r="U27" i="26"/>
  <c r="T28" i="26"/>
  <c r="U28" i="26"/>
  <c r="T29" i="26"/>
  <c r="U29" i="26"/>
  <c r="T30" i="26"/>
  <c r="U30" i="26"/>
  <c r="R5" i="26"/>
  <c r="S5" i="26"/>
  <c r="R6" i="26"/>
  <c r="S6" i="26"/>
  <c r="R7" i="26"/>
  <c r="S7" i="26"/>
  <c r="R8" i="26"/>
  <c r="S8" i="26"/>
  <c r="R9" i="26"/>
  <c r="S9" i="26"/>
  <c r="R10" i="26"/>
  <c r="S10" i="26"/>
  <c r="R11" i="26"/>
  <c r="S11" i="26"/>
  <c r="R12" i="26"/>
  <c r="S12" i="26"/>
  <c r="R13" i="26"/>
  <c r="S13" i="26"/>
  <c r="R14" i="26"/>
  <c r="S14" i="26"/>
  <c r="R15" i="26"/>
  <c r="S15" i="26"/>
  <c r="R16" i="26"/>
  <c r="S16" i="26"/>
  <c r="R17" i="26"/>
  <c r="S17" i="26"/>
  <c r="R18" i="26"/>
  <c r="S18" i="26"/>
  <c r="R19" i="26"/>
  <c r="S19" i="26"/>
  <c r="R20" i="26"/>
  <c r="S20" i="26"/>
  <c r="R21" i="26"/>
  <c r="S21" i="26"/>
  <c r="R22" i="26"/>
  <c r="S22" i="26"/>
  <c r="R23" i="26"/>
  <c r="S23" i="26"/>
  <c r="R24" i="26"/>
  <c r="S24" i="26"/>
  <c r="R25" i="26"/>
  <c r="S25" i="26"/>
  <c r="R26" i="26"/>
  <c r="S26" i="26"/>
  <c r="R27" i="26"/>
  <c r="S27" i="26"/>
  <c r="R28" i="26"/>
  <c r="S28" i="26"/>
  <c r="R29" i="26"/>
  <c r="S29" i="26"/>
  <c r="R30" i="26"/>
  <c r="S30" i="26"/>
  <c r="Q5" i="26"/>
  <c r="Q6" i="26"/>
  <c r="Q7" i="26"/>
  <c r="Q8" i="26"/>
  <c r="Q9" i="26"/>
  <c r="Q10" i="26"/>
  <c r="Q11" i="26"/>
  <c r="Q12" i="26"/>
  <c r="Q13" i="26"/>
  <c r="Q14" i="26"/>
  <c r="Q15" i="26"/>
  <c r="Q16" i="26"/>
  <c r="Q17" i="26"/>
  <c r="Q18" i="26"/>
  <c r="Q19" i="26"/>
  <c r="Q20" i="26"/>
  <c r="Q21" i="26"/>
  <c r="Q22" i="26"/>
  <c r="Q23" i="26"/>
  <c r="Q24" i="26"/>
  <c r="Q25" i="26"/>
  <c r="Q26" i="26"/>
  <c r="Q27" i="26"/>
  <c r="Q28" i="26"/>
  <c r="Q29" i="26"/>
  <c r="Q30" i="26"/>
  <c r="U4" i="26"/>
  <c r="U31" i="26" s="1"/>
  <c r="S4" i="26"/>
  <c r="T4" i="26"/>
  <c r="T31" i="26" s="1"/>
  <c r="R4" i="26"/>
  <c r="Q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4" i="26"/>
  <c r="L5" i="26"/>
  <c r="L6" i="26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4" i="26"/>
  <c r="C5" i="26"/>
  <c r="C11" i="26" s="1"/>
  <c r="C13" i="26" s="1"/>
  <c r="E9" i="26"/>
  <c r="E8" i="26"/>
  <c r="E6" i="26"/>
  <c r="E5" i="26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4" i="26"/>
  <c r="J75" i="18"/>
  <c r="J70" i="18"/>
  <c r="J65" i="18"/>
  <c r="J60" i="18"/>
  <c r="E80" i="18"/>
  <c r="E75" i="18"/>
  <c r="E70" i="18"/>
  <c r="E65" i="18"/>
  <c r="E60" i="18"/>
  <c r="J55" i="18"/>
  <c r="E55" i="18"/>
  <c r="J75" i="6"/>
  <c r="J70" i="6"/>
  <c r="J65" i="6"/>
  <c r="J60" i="6"/>
  <c r="J55" i="6"/>
  <c r="E80" i="6"/>
  <c r="E75" i="6"/>
  <c r="E70" i="6"/>
  <c r="E65" i="6"/>
  <c r="E60" i="6"/>
  <c r="E55" i="6"/>
  <c r="D28" i="8"/>
  <c r="D18" i="8"/>
  <c r="D19" i="8"/>
  <c r="D20" i="8"/>
  <c r="D21" i="8"/>
  <c r="D22" i="8"/>
  <c r="D23" i="8"/>
  <c r="D24" i="8"/>
  <c r="D25" i="8"/>
  <c r="D26" i="8"/>
  <c r="D27" i="8"/>
  <c r="D17" i="8"/>
  <c r="AC46" i="3"/>
  <c r="AC47" i="3"/>
  <c r="AC48" i="3"/>
  <c r="AC49" i="3"/>
  <c r="AC50" i="3"/>
  <c r="AC51" i="3"/>
  <c r="AC52" i="3"/>
  <c r="AC53" i="3"/>
  <c r="AC35" i="3"/>
  <c r="AC36" i="3"/>
  <c r="AC37" i="3"/>
  <c r="AC38" i="3"/>
  <c r="AC39" i="3"/>
  <c r="AC40" i="3"/>
  <c r="AC41" i="3"/>
  <c r="AC42" i="3"/>
  <c r="AC43" i="3"/>
  <c r="AC44" i="3"/>
  <c r="AC16" i="3"/>
  <c r="AC17" i="3"/>
  <c r="AC18" i="3"/>
  <c r="AC19" i="3"/>
  <c r="AC20" i="3"/>
  <c r="AC21" i="3"/>
  <c r="AC22" i="3"/>
  <c r="AC23" i="3"/>
  <c r="AC24" i="3"/>
  <c r="AC25" i="3"/>
  <c r="AC26" i="3"/>
  <c r="AC28" i="3"/>
  <c r="AC29" i="3"/>
  <c r="AC30" i="3"/>
  <c r="AC31" i="3"/>
  <c r="AC32" i="3"/>
  <c r="AC10" i="3"/>
  <c r="AC11" i="3"/>
  <c r="AC12" i="3"/>
  <c r="AC13" i="3"/>
  <c r="AC14" i="3"/>
  <c r="AC8" i="3"/>
  <c r="AC7" i="3"/>
  <c r="AC6" i="3"/>
  <c r="AC5" i="3"/>
  <c r="AC3" i="3"/>
  <c r="AC4" i="3" s="1"/>
  <c r="AB47" i="3"/>
  <c r="AB48" i="3"/>
  <c r="AB49" i="3"/>
  <c r="AB50" i="3"/>
  <c r="AB51" i="3"/>
  <c r="AB52" i="3"/>
  <c r="AB53" i="3"/>
  <c r="AB46" i="3"/>
  <c r="AB36" i="3"/>
  <c r="AB37" i="3"/>
  <c r="AB38" i="3"/>
  <c r="AB39" i="3"/>
  <c r="AB40" i="3"/>
  <c r="AB41" i="3"/>
  <c r="AB42" i="3"/>
  <c r="AB43" i="3"/>
  <c r="AB44" i="3"/>
  <c r="AB35" i="3"/>
  <c r="AB33" i="3"/>
  <c r="AB17" i="3"/>
  <c r="AB18" i="3"/>
  <c r="AB19" i="3"/>
  <c r="AB20" i="3"/>
  <c r="AB21" i="3"/>
  <c r="AB22" i="3"/>
  <c r="AB23" i="3"/>
  <c r="AB24" i="3"/>
  <c r="AB25" i="3"/>
  <c r="AB26" i="3"/>
  <c r="AB28" i="3"/>
  <c r="AB29" i="3"/>
  <c r="AB30" i="3"/>
  <c r="AB31" i="3"/>
  <c r="AB32" i="3"/>
  <c r="AB16" i="3"/>
  <c r="AB11" i="3"/>
  <c r="AB12" i="3"/>
  <c r="AB13" i="3"/>
  <c r="AB14" i="3"/>
  <c r="AB10" i="3"/>
  <c r="AB3" i="3"/>
  <c r="AB4" i="3" s="1"/>
  <c r="AB6" i="3"/>
  <c r="AB7" i="3"/>
  <c r="AB8" i="3"/>
  <c r="AB5" i="3"/>
  <c r="A28" i="8"/>
  <c r="A18" i="8"/>
  <c r="A19" i="8"/>
  <c r="A20" i="8"/>
  <c r="A21" i="8"/>
  <c r="A22" i="8"/>
  <c r="A23" i="8"/>
  <c r="A24" i="8"/>
  <c r="A25" i="8"/>
  <c r="A26" i="8"/>
  <c r="A27" i="8"/>
  <c r="A17" i="8"/>
  <c r="Z4" i="8"/>
  <c r="AA4" i="8"/>
  <c r="Z5" i="8"/>
  <c r="Z14" i="8" s="1"/>
  <c r="AA5" i="8"/>
  <c r="Z6" i="8"/>
  <c r="AA6" i="8"/>
  <c r="Z7" i="8"/>
  <c r="AA7" i="8"/>
  <c r="Z8" i="8"/>
  <c r="AA8" i="8"/>
  <c r="Z9" i="8"/>
  <c r="AA9" i="8"/>
  <c r="Z10" i="8"/>
  <c r="AA10" i="8"/>
  <c r="Z11" i="8"/>
  <c r="AA11" i="8"/>
  <c r="Z12" i="8"/>
  <c r="AA12" i="8"/>
  <c r="Z13" i="8"/>
  <c r="AA13" i="8"/>
  <c r="AA3" i="8"/>
  <c r="AA14" i="8" s="1"/>
  <c r="Z3" i="8"/>
  <c r="AC9" i="3" l="1"/>
  <c r="AB15" i="3"/>
  <c r="AB45" i="3"/>
  <c r="AB54" i="3"/>
  <c r="AC54" i="3"/>
  <c r="AB9" i="3"/>
  <c r="AC15" i="3"/>
  <c r="AC45" i="3"/>
  <c r="P125" i="27"/>
  <c r="D34" i="27"/>
  <c r="D32" i="27"/>
  <c r="C34" i="27"/>
  <c r="P62" i="26"/>
  <c r="V31" i="26"/>
  <c r="S31" i="26"/>
  <c r="Q31" i="26"/>
  <c r="R31" i="26"/>
  <c r="P31" i="26"/>
  <c r="L31" i="26"/>
  <c r="E12" i="26"/>
  <c r="E16" i="26" s="1"/>
  <c r="E11" i="26"/>
  <c r="C14" i="26"/>
  <c r="J31" i="26"/>
  <c r="D36" i="27" l="1"/>
  <c r="E36" i="27" s="1"/>
  <c r="D37" i="27"/>
  <c r="E37" i="27" s="1"/>
  <c r="E15" i="26"/>
  <c r="E17" i="26"/>
  <c r="C16" i="26"/>
  <c r="C17" i="26"/>
  <c r="C15" i="26"/>
  <c r="D40" i="27" l="1"/>
  <c r="E40" i="27"/>
  <c r="E41" i="27"/>
  <c r="D41" i="27"/>
  <c r="L6" i="27" l="1"/>
  <c r="W7" i="27" s="1"/>
  <c r="L10" i="27"/>
  <c r="W11" i="27" s="1"/>
  <c r="L14" i="27"/>
  <c r="W15" i="27" s="1"/>
  <c r="L18" i="27"/>
  <c r="AA5" i="27" s="1"/>
  <c r="L22" i="27"/>
  <c r="AA9" i="27" s="1"/>
  <c r="L26" i="27"/>
  <c r="AA13" i="27" s="1"/>
  <c r="L3" i="27"/>
  <c r="L5" i="27"/>
  <c r="W6" i="27" s="1"/>
  <c r="L9" i="27"/>
  <c r="W10" i="27" s="1"/>
  <c r="L13" i="27"/>
  <c r="W14" i="27" s="1"/>
  <c r="L17" i="27"/>
  <c r="AA4" i="27" s="1"/>
  <c r="L21" i="27"/>
  <c r="AA8" i="27" s="1"/>
  <c r="L25" i="27"/>
  <c r="AA12" i="27" s="1"/>
  <c r="L29" i="27"/>
  <c r="AA16" i="27" s="1"/>
  <c r="L4" i="27"/>
  <c r="W5" i="27" s="1"/>
  <c r="L8" i="27"/>
  <c r="W9" i="27" s="1"/>
  <c r="L12" i="27"/>
  <c r="W13" i="27" s="1"/>
  <c r="L16" i="27"/>
  <c r="W17" i="27" s="1"/>
  <c r="L20" i="27"/>
  <c r="AA7" i="27" s="1"/>
  <c r="L24" i="27"/>
  <c r="AA11" i="27" s="1"/>
  <c r="L28" i="27"/>
  <c r="AA15" i="27" s="1"/>
  <c r="L7" i="27"/>
  <c r="W8" i="27" s="1"/>
  <c r="L11" i="27"/>
  <c r="W12" i="27" s="1"/>
  <c r="L15" i="27"/>
  <c r="W16" i="27" s="1"/>
  <c r="L19" i="27"/>
  <c r="AA6" i="27" s="1"/>
  <c r="L23" i="27"/>
  <c r="AA10" i="27" s="1"/>
  <c r="L27" i="27"/>
  <c r="AA14" i="27" s="1"/>
  <c r="R7" i="27"/>
  <c r="R11" i="27"/>
  <c r="R15" i="27"/>
  <c r="R19" i="27"/>
  <c r="R23" i="27"/>
  <c r="R27" i="27"/>
  <c r="P4" i="27"/>
  <c r="P8" i="27"/>
  <c r="P12" i="27"/>
  <c r="P16" i="27"/>
  <c r="P20" i="27"/>
  <c r="P24" i="27"/>
  <c r="P28" i="27"/>
  <c r="N5" i="27"/>
  <c r="S5" i="27" s="1"/>
  <c r="X6" i="27" s="1"/>
  <c r="N9" i="27"/>
  <c r="N13" i="27"/>
  <c r="N17" i="27"/>
  <c r="N21" i="27"/>
  <c r="S21" i="27" s="1"/>
  <c r="AB8" i="27" s="1"/>
  <c r="N25" i="27"/>
  <c r="N29" i="27"/>
  <c r="R6" i="27"/>
  <c r="R10" i="27"/>
  <c r="R14" i="27"/>
  <c r="R18" i="27"/>
  <c r="R22" i="27"/>
  <c r="R26" i="27"/>
  <c r="R3" i="27"/>
  <c r="P7" i="27"/>
  <c r="P11" i="27"/>
  <c r="P15" i="27"/>
  <c r="P19" i="27"/>
  <c r="P23" i="27"/>
  <c r="P27" i="27"/>
  <c r="N4" i="27"/>
  <c r="S4" i="27" s="1"/>
  <c r="X5" i="27" s="1"/>
  <c r="N8" i="27"/>
  <c r="N12" i="27"/>
  <c r="N16" i="27"/>
  <c r="N20" i="27"/>
  <c r="S20" i="27" s="1"/>
  <c r="AB7" i="27" s="1"/>
  <c r="N24" i="27"/>
  <c r="N28" i="27"/>
  <c r="R5" i="27"/>
  <c r="R9" i="27"/>
  <c r="R13" i="27"/>
  <c r="R17" i="27"/>
  <c r="R21" i="27"/>
  <c r="R25" i="27"/>
  <c r="R29" i="27"/>
  <c r="P6" i="27"/>
  <c r="P10" i="27"/>
  <c r="P14" i="27"/>
  <c r="P18" i="27"/>
  <c r="P22" i="27"/>
  <c r="P26" i="27"/>
  <c r="P3" i="27"/>
  <c r="N7" i="27"/>
  <c r="S7" i="27" s="1"/>
  <c r="X8" i="27" s="1"/>
  <c r="N11" i="27"/>
  <c r="N15" i="27"/>
  <c r="N19" i="27"/>
  <c r="S19" i="27" s="1"/>
  <c r="AB6" i="27" s="1"/>
  <c r="N23" i="27"/>
  <c r="S23" i="27" s="1"/>
  <c r="AB10" i="27" s="1"/>
  <c r="N27" i="27"/>
  <c r="R4" i="27"/>
  <c r="R8" i="27"/>
  <c r="R12" i="27"/>
  <c r="R16" i="27"/>
  <c r="R20" i="27"/>
  <c r="R24" i="27"/>
  <c r="R28" i="27"/>
  <c r="P5" i="27"/>
  <c r="P9" i="27"/>
  <c r="P13" i="27"/>
  <c r="P17" i="27"/>
  <c r="P21" i="27"/>
  <c r="P25" i="27"/>
  <c r="P29" i="27"/>
  <c r="N6" i="27"/>
  <c r="S6" i="27" s="1"/>
  <c r="X7" i="27" s="1"/>
  <c r="N10" i="27"/>
  <c r="N14" i="27"/>
  <c r="N18" i="27"/>
  <c r="S18" i="27" s="1"/>
  <c r="AB5" i="27" s="1"/>
  <c r="N22" i="27"/>
  <c r="S22" i="27" s="1"/>
  <c r="AB9" i="27" s="1"/>
  <c r="N26" i="27"/>
  <c r="N3" i="27"/>
  <c r="R38" i="27"/>
  <c r="R42" i="27"/>
  <c r="R46" i="27"/>
  <c r="R50" i="27"/>
  <c r="R54" i="27"/>
  <c r="R58" i="27"/>
  <c r="P36" i="27"/>
  <c r="P40" i="27"/>
  <c r="P44" i="27"/>
  <c r="P48" i="27"/>
  <c r="P52" i="27"/>
  <c r="P56" i="27"/>
  <c r="P60" i="27"/>
  <c r="N38" i="27"/>
  <c r="N42" i="27"/>
  <c r="N46" i="27"/>
  <c r="N50" i="27"/>
  <c r="N54" i="27"/>
  <c r="N58" i="27"/>
  <c r="R37" i="27"/>
  <c r="R41" i="27"/>
  <c r="R45" i="27"/>
  <c r="R49" i="27"/>
  <c r="R53" i="27"/>
  <c r="R57" i="27"/>
  <c r="P35" i="27"/>
  <c r="P39" i="27"/>
  <c r="P43" i="27"/>
  <c r="P47" i="27"/>
  <c r="P51" i="27"/>
  <c r="P55" i="27"/>
  <c r="P59" i="27"/>
  <c r="N37" i="27"/>
  <c r="S37" i="27" s="1"/>
  <c r="X39" i="27" s="1"/>
  <c r="N41" i="27"/>
  <c r="N45" i="27"/>
  <c r="N49" i="27"/>
  <c r="N53" i="27"/>
  <c r="S53" i="27" s="1"/>
  <c r="AB41" i="27" s="1"/>
  <c r="N57" i="27"/>
  <c r="N34" i="27"/>
  <c r="R36" i="27"/>
  <c r="R40" i="27"/>
  <c r="R44" i="27"/>
  <c r="R48" i="27"/>
  <c r="R52" i="27"/>
  <c r="R56" i="27"/>
  <c r="R60" i="27"/>
  <c r="P38" i="27"/>
  <c r="P42" i="27"/>
  <c r="P46" i="27"/>
  <c r="S46" i="27" s="1"/>
  <c r="X48" i="27" s="1"/>
  <c r="P50" i="27"/>
  <c r="S50" i="27" s="1"/>
  <c r="AB38" i="27" s="1"/>
  <c r="P54" i="27"/>
  <c r="P58" i="27"/>
  <c r="N36" i="27"/>
  <c r="S36" i="27" s="1"/>
  <c r="X38" i="27" s="1"/>
  <c r="N40" i="27"/>
  <c r="N44" i="27"/>
  <c r="N48" i="27"/>
  <c r="N52" i="27"/>
  <c r="S52" i="27" s="1"/>
  <c r="AB40" i="27" s="1"/>
  <c r="N56" i="27"/>
  <c r="N60" i="27"/>
  <c r="P34" i="27"/>
  <c r="R35" i="27"/>
  <c r="R39" i="27"/>
  <c r="R43" i="27"/>
  <c r="R47" i="27"/>
  <c r="R51" i="27"/>
  <c r="R55" i="27"/>
  <c r="R59" i="27"/>
  <c r="P37" i="27"/>
  <c r="P41" i="27"/>
  <c r="P45" i="27"/>
  <c r="P49" i="27"/>
  <c r="P53" i="27"/>
  <c r="P57" i="27"/>
  <c r="N35" i="27"/>
  <c r="N39" i="27"/>
  <c r="N43" i="27"/>
  <c r="N47" i="27"/>
  <c r="S47" i="27" s="1"/>
  <c r="X49" i="27" s="1"/>
  <c r="N51" i="27"/>
  <c r="N55" i="27"/>
  <c r="N59" i="27"/>
  <c r="R34" i="27"/>
  <c r="R61" i="27" s="1"/>
  <c r="L36" i="27"/>
  <c r="W38" i="27" s="1"/>
  <c r="L40" i="27"/>
  <c r="W42" i="27" s="1"/>
  <c r="L44" i="27"/>
  <c r="W46" i="27" s="1"/>
  <c r="L48" i="27"/>
  <c r="AA36" i="27" s="1"/>
  <c r="L52" i="27"/>
  <c r="AA40" i="27" s="1"/>
  <c r="L56" i="27"/>
  <c r="AA44" i="27" s="1"/>
  <c r="L60" i="27"/>
  <c r="AA48" i="27" s="1"/>
  <c r="L34" i="27"/>
  <c r="L35" i="27"/>
  <c r="W37" i="27" s="1"/>
  <c r="L39" i="27"/>
  <c r="W41" i="27" s="1"/>
  <c r="L43" i="27"/>
  <c r="W45" i="27" s="1"/>
  <c r="L47" i="27"/>
  <c r="W49" i="27" s="1"/>
  <c r="L51" i="27"/>
  <c r="AA39" i="27" s="1"/>
  <c r="L55" i="27"/>
  <c r="AA43" i="27" s="1"/>
  <c r="L59" i="27"/>
  <c r="AA47" i="27" s="1"/>
  <c r="L38" i="27"/>
  <c r="W40" i="27" s="1"/>
  <c r="L42" i="27"/>
  <c r="W44" i="27" s="1"/>
  <c r="L46" i="27"/>
  <c r="W48" i="27" s="1"/>
  <c r="L50" i="27"/>
  <c r="AA38" i="27" s="1"/>
  <c r="L54" i="27"/>
  <c r="AA42" i="27" s="1"/>
  <c r="L58" i="27"/>
  <c r="AA46" i="27" s="1"/>
  <c r="L37" i="27"/>
  <c r="W39" i="27" s="1"/>
  <c r="L41" i="27"/>
  <c r="W43" i="27" s="1"/>
  <c r="L45" i="27"/>
  <c r="W47" i="27" s="1"/>
  <c r="L49" i="27"/>
  <c r="AA37" i="27" s="1"/>
  <c r="L53" i="27"/>
  <c r="AA41" i="27" s="1"/>
  <c r="L57" i="27"/>
  <c r="AA45" i="27" s="1"/>
  <c r="P30" i="27" l="1"/>
  <c r="S51" i="27"/>
  <c r="AB39" i="27" s="1"/>
  <c r="S40" i="27"/>
  <c r="X42" i="27" s="1"/>
  <c r="S57" i="27"/>
  <c r="AB45" i="27" s="1"/>
  <c r="S41" i="27"/>
  <c r="X43" i="27" s="1"/>
  <c r="S54" i="27"/>
  <c r="AB42" i="27" s="1"/>
  <c r="S24" i="27"/>
  <c r="AB11" i="27" s="1"/>
  <c r="S8" i="27"/>
  <c r="X9" i="27" s="1"/>
  <c r="R30" i="27"/>
  <c r="S25" i="27"/>
  <c r="AB12" i="27" s="1"/>
  <c r="S9" i="27"/>
  <c r="X10" i="27" s="1"/>
  <c r="N61" i="27"/>
  <c r="S34" i="27"/>
  <c r="W4" i="27"/>
  <c r="AA17" i="27" s="1"/>
  <c r="L30" i="27"/>
  <c r="S35" i="27"/>
  <c r="X37" i="27" s="1"/>
  <c r="S55" i="27"/>
  <c r="AB43" i="27" s="1"/>
  <c r="S39" i="27"/>
  <c r="X41" i="27" s="1"/>
  <c r="S60" i="27"/>
  <c r="AB48" i="27" s="1"/>
  <c r="S44" i="27"/>
  <c r="X46" i="27" s="1"/>
  <c r="S38" i="27"/>
  <c r="X40" i="27" s="1"/>
  <c r="S45" i="27"/>
  <c r="X47" i="27" s="1"/>
  <c r="S42" i="27"/>
  <c r="X44" i="27" s="1"/>
  <c r="S26" i="27"/>
  <c r="AB13" i="27" s="1"/>
  <c r="S10" i="27"/>
  <c r="X11" i="27" s="1"/>
  <c r="S27" i="27"/>
  <c r="AB14" i="27" s="1"/>
  <c r="S11" i="27"/>
  <c r="X12" i="27" s="1"/>
  <c r="S28" i="27"/>
  <c r="AB15" i="27" s="1"/>
  <c r="S12" i="27"/>
  <c r="X13" i="27" s="1"/>
  <c r="S29" i="27"/>
  <c r="AB16" i="27" s="1"/>
  <c r="S13" i="27"/>
  <c r="X14" i="27" s="1"/>
  <c r="L61" i="27"/>
  <c r="AA49" i="27"/>
  <c r="N30" i="27"/>
  <c r="S3" i="27"/>
  <c r="S56" i="27"/>
  <c r="AB44" i="27" s="1"/>
  <c r="S59" i="27"/>
  <c r="AB47" i="27" s="1"/>
  <c r="S43" i="27"/>
  <c r="X45" i="27" s="1"/>
  <c r="P61" i="27"/>
  <c r="S48" i="27"/>
  <c r="AB36" i="27" s="1"/>
  <c r="S58" i="27"/>
  <c r="AB46" i="27" s="1"/>
  <c r="S49" i="27"/>
  <c r="AB37" i="27" s="1"/>
  <c r="S14" i="27"/>
  <c r="X15" i="27" s="1"/>
  <c r="S15" i="27"/>
  <c r="X16" i="27" s="1"/>
  <c r="S16" i="27"/>
  <c r="X17" i="27" s="1"/>
  <c r="S17" i="27"/>
  <c r="AB4" i="27" s="1"/>
  <c r="S61" i="27" l="1"/>
  <c r="X36" i="27"/>
  <c r="AB49" i="27" s="1"/>
  <c r="AB17" i="27"/>
  <c r="S30" i="27"/>
  <c r="X4" i="27"/>
  <c r="H42" i="21" l="1"/>
  <c r="G42" i="21"/>
  <c r="F42" i="21"/>
  <c r="E42" i="21"/>
  <c r="D42" i="21"/>
  <c r="C42" i="21"/>
  <c r="G26" i="21"/>
  <c r="E26" i="21"/>
  <c r="C26" i="21"/>
  <c r="H16" i="21"/>
  <c r="G16" i="21"/>
  <c r="F16" i="21"/>
  <c r="E16" i="21"/>
  <c r="D16" i="21"/>
  <c r="C16" i="21"/>
  <c r="F7" i="11" l="1"/>
  <c r="J14" i="5" s="1"/>
  <c r="D171" i="5" s="1"/>
  <c r="F9" i="11"/>
  <c r="J24" i="5" s="1"/>
  <c r="D181" i="5" s="1"/>
  <c r="F10" i="11"/>
  <c r="J29" i="5" s="1"/>
  <c r="D186" i="5" s="1"/>
  <c r="F3" i="11"/>
  <c r="J6" i="5" s="1"/>
  <c r="D163" i="5" s="1"/>
  <c r="E9" i="11"/>
  <c r="H24" i="5" s="1"/>
  <c r="D119" i="5" s="1"/>
  <c r="E10" i="11"/>
  <c r="H29" i="5" s="1"/>
  <c r="D124" i="5" s="1"/>
  <c r="E3" i="11"/>
  <c r="T31" i="20"/>
  <c r="R31" i="20"/>
  <c r="P31" i="20"/>
  <c r="K31" i="20"/>
  <c r="C19" i="20"/>
  <c r="C20" i="20" s="1"/>
  <c r="C16" i="20"/>
  <c r="E16" i="20" s="1"/>
  <c r="B16" i="20"/>
  <c r="D16" i="20" s="1"/>
  <c r="E15" i="20"/>
  <c r="D15" i="20"/>
  <c r="E14" i="20"/>
  <c r="D14" i="20"/>
  <c r="E13" i="20"/>
  <c r="D13" i="20"/>
  <c r="E12" i="20"/>
  <c r="D12" i="20"/>
  <c r="E11" i="20"/>
  <c r="D11" i="20"/>
  <c r="E10" i="20"/>
  <c r="D10" i="20"/>
  <c r="E9" i="20"/>
  <c r="D9" i="20"/>
  <c r="E8" i="20"/>
  <c r="D8" i="20"/>
  <c r="E7" i="20"/>
  <c r="D7" i="20"/>
  <c r="E6" i="20"/>
  <c r="D6" i="20"/>
  <c r="E5" i="20"/>
  <c r="D5" i="20"/>
  <c r="E4" i="20"/>
  <c r="D4" i="20"/>
  <c r="G9" i="11" l="1"/>
  <c r="G10" i="11"/>
  <c r="G3" i="11"/>
  <c r="G4" i="20"/>
  <c r="G6" i="20"/>
  <c r="G8" i="20"/>
  <c r="G10" i="20"/>
  <c r="G12" i="20"/>
  <c r="G5" i="20"/>
  <c r="G7" i="20"/>
  <c r="G9" i="20"/>
  <c r="G11" i="20"/>
  <c r="G13" i="20"/>
  <c r="G15" i="20"/>
  <c r="G14" i="20"/>
  <c r="F15" i="20"/>
  <c r="F11" i="20"/>
  <c r="F7" i="20"/>
  <c r="C21" i="20"/>
  <c r="F4" i="20"/>
  <c r="F12" i="20"/>
  <c r="F8" i="20"/>
  <c r="F13" i="20"/>
  <c r="F9" i="20"/>
  <c r="F5" i="20"/>
  <c r="F14" i="20"/>
  <c r="F10" i="20"/>
  <c r="F6" i="20"/>
  <c r="F157" i="19"/>
  <c r="G157" i="19"/>
  <c r="H157" i="19"/>
  <c r="I157" i="19"/>
  <c r="J157" i="19"/>
  <c r="K157" i="19"/>
  <c r="L157" i="19"/>
  <c r="M157" i="19"/>
  <c r="N157" i="19"/>
  <c r="O157" i="19"/>
  <c r="P157" i="19"/>
  <c r="E157" i="19"/>
  <c r="F155" i="19"/>
  <c r="G155" i="19"/>
  <c r="H155" i="19"/>
  <c r="I155" i="19"/>
  <c r="J155" i="19"/>
  <c r="K155" i="19"/>
  <c r="L155" i="19"/>
  <c r="M155" i="19"/>
  <c r="N155" i="19"/>
  <c r="O155" i="19"/>
  <c r="P155" i="19"/>
  <c r="E155" i="19"/>
  <c r="F148" i="19"/>
  <c r="G148" i="19"/>
  <c r="H148" i="19"/>
  <c r="I148" i="19"/>
  <c r="J148" i="19"/>
  <c r="K148" i="19"/>
  <c r="L148" i="19"/>
  <c r="M148" i="19"/>
  <c r="N148" i="19"/>
  <c r="O148" i="19"/>
  <c r="P148" i="19"/>
  <c r="E148" i="19"/>
  <c r="F146" i="19"/>
  <c r="G146" i="19"/>
  <c r="H146" i="19"/>
  <c r="I146" i="19"/>
  <c r="J146" i="19"/>
  <c r="K146" i="19"/>
  <c r="L146" i="19"/>
  <c r="M146" i="19"/>
  <c r="N146" i="19"/>
  <c r="O146" i="19"/>
  <c r="P146" i="19"/>
  <c r="E146" i="19"/>
  <c r="F139" i="19"/>
  <c r="G139" i="19"/>
  <c r="H139" i="19"/>
  <c r="I139" i="19"/>
  <c r="J139" i="19"/>
  <c r="K139" i="19"/>
  <c r="L139" i="19"/>
  <c r="M139" i="19"/>
  <c r="N139" i="19"/>
  <c r="O139" i="19"/>
  <c r="P139" i="19"/>
  <c r="E139" i="19"/>
  <c r="F137" i="19"/>
  <c r="G137" i="19"/>
  <c r="H137" i="19"/>
  <c r="I137" i="19"/>
  <c r="J137" i="19"/>
  <c r="K137" i="19"/>
  <c r="L137" i="19"/>
  <c r="M137" i="19"/>
  <c r="N137" i="19"/>
  <c r="O137" i="19"/>
  <c r="P137" i="19"/>
  <c r="E137" i="19"/>
  <c r="F130" i="19"/>
  <c r="G130" i="19"/>
  <c r="H130" i="19"/>
  <c r="I130" i="19"/>
  <c r="J130" i="19"/>
  <c r="K130" i="19"/>
  <c r="L130" i="19"/>
  <c r="M130" i="19"/>
  <c r="N130" i="19"/>
  <c r="O130" i="19"/>
  <c r="P130" i="19"/>
  <c r="E130" i="19"/>
  <c r="F128" i="19"/>
  <c r="G128" i="19"/>
  <c r="H128" i="19"/>
  <c r="I128" i="19"/>
  <c r="J128" i="19"/>
  <c r="K128" i="19"/>
  <c r="L128" i="19"/>
  <c r="M128" i="19"/>
  <c r="N128" i="19"/>
  <c r="O128" i="19"/>
  <c r="P128" i="19"/>
  <c r="E128" i="19"/>
  <c r="F121" i="19"/>
  <c r="G121" i="19"/>
  <c r="H121" i="19"/>
  <c r="I121" i="19"/>
  <c r="J121" i="19"/>
  <c r="K121" i="19"/>
  <c r="L121" i="19"/>
  <c r="M121" i="19"/>
  <c r="N121" i="19"/>
  <c r="O121" i="19"/>
  <c r="P121" i="19"/>
  <c r="E121" i="19"/>
  <c r="F119" i="19"/>
  <c r="G119" i="19"/>
  <c r="H119" i="19"/>
  <c r="I119" i="19"/>
  <c r="J119" i="19"/>
  <c r="K119" i="19"/>
  <c r="L119" i="19"/>
  <c r="M119" i="19"/>
  <c r="N119" i="19"/>
  <c r="O119" i="19"/>
  <c r="P119" i="19"/>
  <c r="E119" i="19"/>
  <c r="F112" i="19"/>
  <c r="G112" i="19"/>
  <c r="H112" i="19"/>
  <c r="I112" i="19"/>
  <c r="J112" i="19"/>
  <c r="K112" i="19"/>
  <c r="L112" i="19"/>
  <c r="M112" i="19"/>
  <c r="N112" i="19"/>
  <c r="O112" i="19"/>
  <c r="P112" i="19"/>
  <c r="E112" i="19"/>
  <c r="F110" i="19"/>
  <c r="G110" i="19"/>
  <c r="H110" i="19"/>
  <c r="I110" i="19"/>
  <c r="J110" i="19"/>
  <c r="K110" i="19"/>
  <c r="L110" i="19"/>
  <c r="M110" i="19"/>
  <c r="N110" i="19"/>
  <c r="O110" i="19"/>
  <c r="P110" i="19"/>
  <c r="E110" i="19"/>
  <c r="F103" i="19"/>
  <c r="G103" i="19"/>
  <c r="H103" i="19"/>
  <c r="I103" i="19"/>
  <c r="J103" i="19"/>
  <c r="K103" i="19"/>
  <c r="L103" i="19"/>
  <c r="M103" i="19"/>
  <c r="N103" i="19"/>
  <c r="O103" i="19"/>
  <c r="P103" i="19"/>
  <c r="E103" i="19"/>
  <c r="F101" i="19"/>
  <c r="G101" i="19"/>
  <c r="H101" i="19"/>
  <c r="I101" i="19"/>
  <c r="J101" i="19"/>
  <c r="K101" i="19"/>
  <c r="L101" i="19"/>
  <c r="M101" i="19"/>
  <c r="N101" i="19"/>
  <c r="O101" i="19"/>
  <c r="P101" i="19"/>
  <c r="E101" i="19"/>
  <c r="F94" i="19"/>
  <c r="G94" i="19"/>
  <c r="H94" i="19"/>
  <c r="I94" i="19"/>
  <c r="J94" i="19"/>
  <c r="K94" i="19"/>
  <c r="L94" i="19"/>
  <c r="M94" i="19"/>
  <c r="N94" i="19"/>
  <c r="O94" i="19"/>
  <c r="P94" i="19"/>
  <c r="E94" i="19"/>
  <c r="F92" i="19"/>
  <c r="G92" i="19"/>
  <c r="H92" i="19"/>
  <c r="I92" i="19"/>
  <c r="J92" i="19"/>
  <c r="K92" i="19"/>
  <c r="L92" i="19"/>
  <c r="M92" i="19"/>
  <c r="N92" i="19"/>
  <c r="O92" i="19"/>
  <c r="P92" i="19"/>
  <c r="E92" i="19"/>
  <c r="F85" i="19"/>
  <c r="G85" i="19"/>
  <c r="H85" i="19"/>
  <c r="I85" i="19"/>
  <c r="J85" i="19"/>
  <c r="K85" i="19"/>
  <c r="L85" i="19"/>
  <c r="M85" i="19"/>
  <c r="N85" i="19"/>
  <c r="O85" i="19"/>
  <c r="P85" i="19"/>
  <c r="E85" i="19"/>
  <c r="F83" i="19"/>
  <c r="G83" i="19"/>
  <c r="H83" i="19"/>
  <c r="I83" i="19"/>
  <c r="J83" i="19"/>
  <c r="K83" i="19"/>
  <c r="L83" i="19"/>
  <c r="M83" i="19"/>
  <c r="N83" i="19"/>
  <c r="O83" i="19"/>
  <c r="P83" i="19"/>
  <c r="E83" i="19"/>
  <c r="F76" i="19"/>
  <c r="G76" i="19"/>
  <c r="H76" i="19"/>
  <c r="I76" i="19"/>
  <c r="J76" i="19"/>
  <c r="K76" i="19"/>
  <c r="L76" i="19"/>
  <c r="M76" i="19"/>
  <c r="N76" i="19"/>
  <c r="O76" i="19"/>
  <c r="P76" i="19"/>
  <c r="E76" i="19"/>
  <c r="F74" i="19"/>
  <c r="G74" i="19"/>
  <c r="H74" i="19"/>
  <c r="I74" i="19"/>
  <c r="J74" i="19"/>
  <c r="K74" i="19"/>
  <c r="L74" i="19"/>
  <c r="M74" i="19"/>
  <c r="N74" i="19"/>
  <c r="O74" i="19"/>
  <c r="P74" i="19"/>
  <c r="E74" i="19"/>
  <c r="F67" i="19"/>
  <c r="G67" i="19"/>
  <c r="H67" i="19"/>
  <c r="I67" i="19"/>
  <c r="J67" i="19"/>
  <c r="K67" i="19"/>
  <c r="L67" i="19"/>
  <c r="M67" i="19"/>
  <c r="N67" i="19"/>
  <c r="O67" i="19"/>
  <c r="P67" i="19"/>
  <c r="E67" i="19"/>
  <c r="F65" i="19"/>
  <c r="G65" i="19"/>
  <c r="H65" i="19"/>
  <c r="I65" i="19"/>
  <c r="J65" i="19"/>
  <c r="K65" i="19"/>
  <c r="L65" i="19"/>
  <c r="M65" i="19"/>
  <c r="N65" i="19"/>
  <c r="O65" i="19"/>
  <c r="P65" i="19"/>
  <c r="E65" i="19"/>
  <c r="F58" i="19"/>
  <c r="G58" i="19"/>
  <c r="H58" i="19"/>
  <c r="I58" i="19"/>
  <c r="J58" i="19"/>
  <c r="K58" i="19"/>
  <c r="L58" i="19"/>
  <c r="M58" i="19"/>
  <c r="N58" i="19"/>
  <c r="O58" i="19"/>
  <c r="P58" i="19"/>
  <c r="E58" i="19"/>
  <c r="F56" i="19"/>
  <c r="G56" i="19"/>
  <c r="H56" i="19"/>
  <c r="I56" i="19"/>
  <c r="J56" i="19"/>
  <c r="K56" i="19"/>
  <c r="L56" i="19"/>
  <c r="M56" i="19"/>
  <c r="N56" i="19"/>
  <c r="O56" i="19"/>
  <c r="P56" i="19"/>
  <c r="E56" i="19"/>
  <c r="F49" i="19"/>
  <c r="G49" i="19"/>
  <c r="H49" i="19"/>
  <c r="I49" i="19"/>
  <c r="J49" i="19"/>
  <c r="K49" i="19"/>
  <c r="L49" i="19"/>
  <c r="M49" i="19"/>
  <c r="N49" i="19"/>
  <c r="O49" i="19"/>
  <c r="P49" i="19"/>
  <c r="E49" i="19"/>
  <c r="F47" i="19"/>
  <c r="G47" i="19"/>
  <c r="H47" i="19"/>
  <c r="I47" i="19"/>
  <c r="J47" i="19"/>
  <c r="K47" i="19"/>
  <c r="L47" i="19"/>
  <c r="M47" i="19"/>
  <c r="N47" i="19"/>
  <c r="O47" i="19"/>
  <c r="P47" i="19"/>
  <c r="E47" i="19"/>
  <c r="F40" i="19"/>
  <c r="G40" i="19"/>
  <c r="H40" i="19"/>
  <c r="I40" i="19"/>
  <c r="J40" i="19"/>
  <c r="K40" i="19"/>
  <c r="L40" i="19"/>
  <c r="M40" i="19"/>
  <c r="N40" i="19"/>
  <c r="O40" i="19"/>
  <c r="P40" i="19"/>
  <c r="E40" i="19"/>
  <c r="F38" i="19"/>
  <c r="G38" i="19"/>
  <c r="H38" i="19"/>
  <c r="I38" i="19"/>
  <c r="J38" i="19"/>
  <c r="K38" i="19"/>
  <c r="L38" i="19"/>
  <c r="M38" i="19"/>
  <c r="N38" i="19"/>
  <c r="O38" i="19"/>
  <c r="P38" i="19"/>
  <c r="E38" i="19"/>
  <c r="F31" i="19"/>
  <c r="G31" i="19"/>
  <c r="H31" i="19"/>
  <c r="I31" i="19"/>
  <c r="J31" i="19"/>
  <c r="K31" i="19"/>
  <c r="L31" i="19"/>
  <c r="M31" i="19"/>
  <c r="N31" i="19"/>
  <c r="O31" i="19"/>
  <c r="P31" i="19"/>
  <c r="E31" i="19"/>
  <c r="F29" i="19"/>
  <c r="G29" i="19"/>
  <c r="H29" i="19"/>
  <c r="I29" i="19"/>
  <c r="J29" i="19"/>
  <c r="K29" i="19"/>
  <c r="L29" i="19"/>
  <c r="M29" i="19"/>
  <c r="N29" i="19"/>
  <c r="O29" i="19"/>
  <c r="P29" i="19"/>
  <c r="E29" i="19"/>
  <c r="F22" i="19"/>
  <c r="G22" i="19"/>
  <c r="H22" i="19"/>
  <c r="I22" i="19"/>
  <c r="J22" i="19"/>
  <c r="K22" i="19"/>
  <c r="L22" i="19"/>
  <c r="M22" i="19"/>
  <c r="N22" i="19"/>
  <c r="O22" i="19"/>
  <c r="P22" i="19"/>
  <c r="E22" i="19"/>
  <c r="F20" i="19"/>
  <c r="G20" i="19"/>
  <c r="H20" i="19"/>
  <c r="I20" i="19"/>
  <c r="J20" i="19"/>
  <c r="K20" i="19"/>
  <c r="L20" i="19"/>
  <c r="M20" i="19"/>
  <c r="N20" i="19"/>
  <c r="O20" i="19"/>
  <c r="P20" i="19"/>
  <c r="E20" i="19"/>
  <c r="F13" i="19"/>
  <c r="G13" i="19"/>
  <c r="H13" i="19"/>
  <c r="I13" i="19"/>
  <c r="J13" i="19"/>
  <c r="K13" i="19"/>
  <c r="L13" i="19"/>
  <c r="M13" i="19"/>
  <c r="N13" i="19"/>
  <c r="O13" i="19"/>
  <c r="P13" i="19"/>
  <c r="E13" i="19"/>
  <c r="F11" i="19"/>
  <c r="G11" i="19"/>
  <c r="H11" i="19"/>
  <c r="I11" i="19"/>
  <c r="J11" i="19"/>
  <c r="K11" i="19"/>
  <c r="L11" i="19"/>
  <c r="M11" i="19"/>
  <c r="N11" i="19"/>
  <c r="O11" i="19"/>
  <c r="P11" i="19"/>
  <c r="E11" i="19"/>
  <c r="F4" i="19"/>
  <c r="G4" i="19"/>
  <c r="H4" i="19"/>
  <c r="I4" i="19"/>
  <c r="J4" i="19"/>
  <c r="K4" i="19"/>
  <c r="L4" i="19"/>
  <c r="M4" i="19"/>
  <c r="N4" i="19"/>
  <c r="O4" i="19"/>
  <c r="P4" i="19"/>
  <c r="E4" i="19"/>
  <c r="P2" i="19"/>
  <c r="O2" i="19"/>
  <c r="N2" i="19"/>
  <c r="M2" i="19"/>
  <c r="L2" i="19"/>
  <c r="K2" i="19"/>
  <c r="J2" i="19"/>
  <c r="I2" i="19"/>
  <c r="H2" i="19"/>
  <c r="G2" i="19"/>
  <c r="F2" i="19"/>
  <c r="E2" i="19"/>
  <c r="Q163" i="19"/>
  <c r="P162" i="19"/>
  <c r="O162" i="19"/>
  <c r="N162" i="19"/>
  <c r="M162" i="19"/>
  <c r="L162" i="19"/>
  <c r="K162" i="19"/>
  <c r="J162" i="19"/>
  <c r="I162" i="19"/>
  <c r="H162" i="19"/>
  <c r="G162" i="19"/>
  <c r="F162" i="19"/>
  <c r="E162" i="19"/>
  <c r="P161" i="19"/>
  <c r="O161" i="19"/>
  <c r="N161" i="19"/>
  <c r="M161" i="19"/>
  <c r="L161" i="19"/>
  <c r="K161" i="19"/>
  <c r="J161" i="19"/>
  <c r="I161" i="19"/>
  <c r="H161" i="19"/>
  <c r="G161" i="19"/>
  <c r="F161" i="19"/>
  <c r="E161" i="19"/>
  <c r="P160" i="19"/>
  <c r="O160" i="19"/>
  <c r="N160" i="19"/>
  <c r="M160" i="19"/>
  <c r="L160" i="19"/>
  <c r="K160" i="19"/>
  <c r="J160" i="19"/>
  <c r="I160" i="19"/>
  <c r="H160" i="19"/>
  <c r="G160" i="19"/>
  <c r="F160" i="19"/>
  <c r="E160" i="19"/>
  <c r="P159" i="19"/>
  <c r="O159" i="19"/>
  <c r="N159" i="19"/>
  <c r="M159" i="19"/>
  <c r="L159" i="19"/>
  <c r="K159" i="19"/>
  <c r="J159" i="19"/>
  <c r="I159" i="19"/>
  <c r="H159" i="19"/>
  <c r="G159" i="19"/>
  <c r="F159" i="19"/>
  <c r="E159" i="19"/>
  <c r="P158" i="19"/>
  <c r="O158" i="19"/>
  <c r="N158" i="19"/>
  <c r="M158" i="19"/>
  <c r="L158" i="19"/>
  <c r="K158" i="19"/>
  <c r="J158" i="19"/>
  <c r="I158" i="19"/>
  <c r="H158" i="19"/>
  <c r="G158" i="19"/>
  <c r="F158" i="19"/>
  <c r="E158" i="19"/>
  <c r="P156" i="19"/>
  <c r="O156" i="19"/>
  <c r="N156" i="19"/>
  <c r="M156" i="19"/>
  <c r="L156" i="19"/>
  <c r="K156" i="19"/>
  <c r="J156" i="19"/>
  <c r="I156" i="19"/>
  <c r="H156" i="19"/>
  <c r="G156" i="19"/>
  <c r="F156" i="19"/>
  <c r="E156" i="19"/>
  <c r="Q154" i="19"/>
  <c r="P153" i="19"/>
  <c r="O153" i="19"/>
  <c r="N153" i="19"/>
  <c r="M153" i="19"/>
  <c r="L153" i="19"/>
  <c r="K153" i="19"/>
  <c r="J153" i="19"/>
  <c r="I153" i="19"/>
  <c r="H153" i="19"/>
  <c r="G153" i="19"/>
  <c r="F153" i="19"/>
  <c r="E153" i="19"/>
  <c r="P152" i="19"/>
  <c r="O152" i="19"/>
  <c r="N152" i="19"/>
  <c r="M152" i="19"/>
  <c r="L152" i="19"/>
  <c r="K152" i="19"/>
  <c r="J152" i="19"/>
  <c r="I152" i="19"/>
  <c r="H152" i="19"/>
  <c r="G152" i="19"/>
  <c r="F152" i="19"/>
  <c r="E152" i="19"/>
  <c r="P151" i="19"/>
  <c r="O151" i="19"/>
  <c r="N151" i="19"/>
  <c r="M151" i="19"/>
  <c r="L151" i="19"/>
  <c r="K151" i="19"/>
  <c r="J151" i="19"/>
  <c r="I151" i="19"/>
  <c r="H151" i="19"/>
  <c r="G151" i="19"/>
  <c r="F151" i="19"/>
  <c r="E151" i="19"/>
  <c r="P150" i="19"/>
  <c r="O150" i="19"/>
  <c r="N150" i="19"/>
  <c r="M150" i="19"/>
  <c r="L150" i="19"/>
  <c r="K150" i="19"/>
  <c r="J150" i="19"/>
  <c r="I150" i="19"/>
  <c r="H150" i="19"/>
  <c r="G150" i="19"/>
  <c r="F150" i="19"/>
  <c r="E150" i="19"/>
  <c r="P149" i="19"/>
  <c r="O149" i="19"/>
  <c r="N149" i="19"/>
  <c r="M149" i="19"/>
  <c r="L149" i="19"/>
  <c r="K149" i="19"/>
  <c r="J149" i="19"/>
  <c r="I149" i="19"/>
  <c r="H149" i="19"/>
  <c r="G149" i="19"/>
  <c r="F149" i="19"/>
  <c r="E149" i="19"/>
  <c r="P147" i="19"/>
  <c r="O147" i="19"/>
  <c r="N147" i="19"/>
  <c r="M147" i="19"/>
  <c r="L147" i="19"/>
  <c r="K147" i="19"/>
  <c r="J147" i="19"/>
  <c r="I147" i="19"/>
  <c r="H147" i="19"/>
  <c r="G147" i="19"/>
  <c r="F147" i="19"/>
  <c r="E147" i="19"/>
  <c r="Q145" i="19"/>
  <c r="P144" i="19"/>
  <c r="O144" i="19"/>
  <c r="N144" i="19"/>
  <c r="M144" i="19"/>
  <c r="L144" i="19"/>
  <c r="K144" i="19"/>
  <c r="J144" i="19"/>
  <c r="I144" i="19"/>
  <c r="H144" i="19"/>
  <c r="G144" i="19"/>
  <c r="F144" i="19"/>
  <c r="E144" i="19"/>
  <c r="P143" i="19"/>
  <c r="O143" i="19"/>
  <c r="N143" i="19"/>
  <c r="M143" i="19"/>
  <c r="L143" i="19"/>
  <c r="K143" i="19"/>
  <c r="J143" i="19"/>
  <c r="I143" i="19"/>
  <c r="H143" i="19"/>
  <c r="G143" i="19"/>
  <c r="F143" i="19"/>
  <c r="E143" i="19"/>
  <c r="P142" i="19"/>
  <c r="O142" i="19"/>
  <c r="N142" i="19"/>
  <c r="M142" i="19"/>
  <c r="L142" i="19"/>
  <c r="K142" i="19"/>
  <c r="J142" i="19"/>
  <c r="I142" i="19"/>
  <c r="H142" i="19"/>
  <c r="G142" i="19"/>
  <c r="F142" i="19"/>
  <c r="E142" i="19"/>
  <c r="P141" i="19"/>
  <c r="O141" i="19"/>
  <c r="N141" i="19"/>
  <c r="M141" i="19"/>
  <c r="L141" i="19"/>
  <c r="K141" i="19"/>
  <c r="J141" i="19"/>
  <c r="I141" i="19"/>
  <c r="H141" i="19"/>
  <c r="G141" i="19"/>
  <c r="F141" i="19"/>
  <c r="E141" i="19"/>
  <c r="P140" i="19"/>
  <c r="O140" i="19"/>
  <c r="N140" i="19"/>
  <c r="M140" i="19"/>
  <c r="L140" i="19"/>
  <c r="K140" i="19"/>
  <c r="J140" i="19"/>
  <c r="I140" i="19"/>
  <c r="H140" i="19"/>
  <c r="G140" i="19"/>
  <c r="F140" i="19"/>
  <c r="E140" i="19"/>
  <c r="P138" i="19"/>
  <c r="O138" i="19"/>
  <c r="N138" i="19"/>
  <c r="M138" i="19"/>
  <c r="L138" i="19"/>
  <c r="K138" i="19"/>
  <c r="J138" i="19"/>
  <c r="I138" i="19"/>
  <c r="H138" i="19"/>
  <c r="G138" i="19"/>
  <c r="F138" i="19"/>
  <c r="E138" i="19"/>
  <c r="Q136" i="19"/>
  <c r="P135" i="19"/>
  <c r="O135" i="19"/>
  <c r="N135" i="19"/>
  <c r="M135" i="19"/>
  <c r="L135" i="19"/>
  <c r="K135" i="19"/>
  <c r="J135" i="19"/>
  <c r="I135" i="19"/>
  <c r="H135" i="19"/>
  <c r="G135" i="19"/>
  <c r="F135" i="19"/>
  <c r="E135" i="19"/>
  <c r="P134" i="19"/>
  <c r="O134" i="19"/>
  <c r="N134" i="19"/>
  <c r="M134" i="19"/>
  <c r="L134" i="19"/>
  <c r="K134" i="19"/>
  <c r="J134" i="19"/>
  <c r="I134" i="19"/>
  <c r="H134" i="19"/>
  <c r="G134" i="19"/>
  <c r="F134" i="19"/>
  <c r="E134" i="19"/>
  <c r="P133" i="19"/>
  <c r="O133" i="19"/>
  <c r="N133" i="19"/>
  <c r="M133" i="19"/>
  <c r="L133" i="19"/>
  <c r="K133" i="19"/>
  <c r="J133" i="19"/>
  <c r="I133" i="19"/>
  <c r="H133" i="19"/>
  <c r="G133" i="19"/>
  <c r="F133" i="19"/>
  <c r="E133" i="19"/>
  <c r="P132" i="19"/>
  <c r="O132" i="19"/>
  <c r="N132" i="19"/>
  <c r="M132" i="19"/>
  <c r="L132" i="19"/>
  <c r="K132" i="19"/>
  <c r="J132" i="19"/>
  <c r="I132" i="19"/>
  <c r="H132" i="19"/>
  <c r="G132" i="19"/>
  <c r="F132" i="19"/>
  <c r="E132" i="19"/>
  <c r="P131" i="19"/>
  <c r="O131" i="19"/>
  <c r="N131" i="19"/>
  <c r="M131" i="19"/>
  <c r="L131" i="19"/>
  <c r="K131" i="19"/>
  <c r="J131" i="19"/>
  <c r="I131" i="19"/>
  <c r="H131" i="19"/>
  <c r="G131" i="19"/>
  <c r="F131" i="19"/>
  <c r="E131" i="19"/>
  <c r="P129" i="19"/>
  <c r="O129" i="19"/>
  <c r="N129" i="19"/>
  <c r="M129" i="19"/>
  <c r="L129" i="19"/>
  <c r="K129" i="19"/>
  <c r="J129" i="19"/>
  <c r="I129" i="19"/>
  <c r="H129" i="19"/>
  <c r="G129" i="19"/>
  <c r="F129" i="19"/>
  <c r="E129" i="19"/>
  <c r="Q127" i="19"/>
  <c r="P126" i="19"/>
  <c r="O126" i="19"/>
  <c r="N126" i="19"/>
  <c r="M126" i="19"/>
  <c r="L126" i="19"/>
  <c r="K126" i="19"/>
  <c r="J126" i="19"/>
  <c r="I126" i="19"/>
  <c r="H126" i="19"/>
  <c r="G126" i="19"/>
  <c r="F126" i="19"/>
  <c r="E126" i="19"/>
  <c r="P125" i="19"/>
  <c r="O125" i="19"/>
  <c r="N125" i="19"/>
  <c r="M125" i="19"/>
  <c r="L125" i="19"/>
  <c r="K125" i="19"/>
  <c r="J125" i="19"/>
  <c r="I125" i="19"/>
  <c r="H125" i="19"/>
  <c r="G125" i="19"/>
  <c r="F125" i="19"/>
  <c r="E125" i="19"/>
  <c r="P124" i="19"/>
  <c r="O124" i="19"/>
  <c r="N124" i="19"/>
  <c r="M124" i="19"/>
  <c r="L124" i="19"/>
  <c r="K124" i="19"/>
  <c r="J124" i="19"/>
  <c r="I124" i="19"/>
  <c r="H124" i="19"/>
  <c r="G124" i="19"/>
  <c r="F124" i="19"/>
  <c r="E124" i="19"/>
  <c r="P123" i="19"/>
  <c r="O123" i="19"/>
  <c r="N123" i="19"/>
  <c r="M123" i="19"/>
  <c r="L123" i="19"/>
  <c r="K123" i="19"/>
  <c r="J123" i="19"/>
  <c r="I123" i="19"/>
  <c r="H123" i="19"/>
  <c r="G123" i="19"/>
  <c r="F123" i="19"/>
  <c r="E123" i="19"/>
  <c r="P122" i="19"/>
  <c r="O122" i="19"/>
  <c r="N122" i="19"/>
  <c r="M122" i="19"/>
  <c r="L122" i="19"/>
  <c r="K122" i="19"/>
  <c r="J122" i="19"/>
  <c r="I122" i="19"/>
  <c r="H122" i="19"/>
  <c r="G122" i="19"/>
  <c r="F122" i="19"/>
  <c r="E122" i="19"/>
  <c r="P120" i="19"/>
  <c r="O120" i="19"/>
  <c r="N120" i="19"/>
  <c r="M120" i="19"/>
  <c r="L120" i="19"/>
  <c r="K120" i="19"/>
  <c r="J120" i="19"/>
  <c r="I120" i="19"/>
  <c r="H120" i="19"/>
  <c r="G120" i="19"/>
  <c r="F120" i="19"/>
  <c r="E120" i="19"/>
  <c r="Q118" i="19"/>
  <c r="P117" i="19"/>
  <c r="O117" i="19"/>
  <c r="N117" i="19"/>
  <c r="M117" i="19"/>
  <c r="L117" i="19"/>
  <c r="K117" i="19"/>
  <c r="J117" i="19"/>
  <c r="I117" i="19"/>
  <c r="H117" i="19"/>
  <c r="G117" i="19"/>
  <c r="F117" i="19"/>
  <c r="E117" i="19"/>
  <c r="P116" i="19"/>
  <c r="O116" i="19"/>
  <c r="N116" i="19"/>
  <c r="M116" i="19"/>
  <c r="L116" i="19"/>
  <c r="K116" i="19"/>
  <c r="J116" i="19"/>
  <c r="I116" i="19"/>
  <c r="H116" i="19"/>
  <c r="G116" i="19"/>
  <c r="F116" i="19"/>
  <c r="E116" i="19"/>
  <c r="P115" i="19"/>
  <c r="O115" i="19"/>
  <c r="N115" i="19"/>
  <c r="M115" i="19"/>
  <c r="L115" i="19"/>
  <c r="K115" i="19"/>
  <c r="J115" i="19"/>
  <c r="I115" i="19"/>
  <c r="H115" i="19"/>
  <c r="G115" i="19"/>
  <c r="F115" i="19"/>
  <c r="E115" i="19"/>
  <c r="P114" i="19"/>
  <c r="O114" i="19"/>
  <c r="N114" i="19"/>
  <c r="M114" i="19"/>
  <c r="L114" i="19"/>
  <c r="K114" i="19"/>
  <c r="J114" i="19"/>
  <c r="I114" i="19"/>
  <c r="H114" i="19"/>
  <c r="G114" i="19"/>
  <c r="F114" i="19"/>
  <c r="E114" i="19"/>
  <c r="P113" i="19"/>
  <c r="O113" i="19"/>
  <c r="N113" i="19"/>
  <c r="M113" i="19"/>
  <c r="L113" i="19"/>
  <c r="K113" i="19"/>
  <c r="J113" i="19"/>
  <c r="I113" i="19"/>
  <c r="H113" i="19"/>
  <c r="G113" i="19"/>
  <c r="F113" i="19"/>
  <c r="E113" i="19"/>
  <c r="P111" i="19"/>
  <c r="O111" i="19"/>
  <c r="N111" i="19"/>
  <c r="M111" i="19"/>
  <c r="L111" i="19"/>
  <c r="K111" i="19"/>
  <c r="J111" i="19"/>
  <c r="I111" i="19"/>
  <c r="H111" i="19"/>
  <c r="G111" i="19"/>
  <c r="F111" i="19"/>
  <c r="E111" i="19"/>
  <c r="Q109" i="19"/>
  <c r="P108" i="19"/>
  <c r="O108" i="19"/>
  <c r="N108" i="19"/>
  <c r="M108" i="19"/>
  <c r="L108" i="19"/>
  <c r="K108" i="19"/>
  <c r="J108" i="19"/>
  <c r="I108" i="19"/>
  <c r="H108" i="19"/>
  <c r="G108" i="19"/>
  <c r="F108" i="19"/>
  <c r="E108" i="19"/>
  <c r="P107" i="19"/>
  <c r="O107" i="19"/>
  <c r="N107" i="19"/>
  <c r="M107" i="19"/>
  <c r="L107" i="19"/>
  <c r="K107" i="19"/>
  <c r="J107" i="19"/>
  <c r="I107" i="19"/>
  <c r="H107" i="19"/>
  <c r="G107" i="19"/>
  <c r="F107" i="19"/>
  <c r="E107" i="19"/>
  <c r="P106" i="19"/>
  <c r="O106" i="19"/>
  <c r="N106" i="19"/>
  <c r="M106" i="19"/>
  <c r="L106" i="19"/>
  <c r="K106" i="19"/>
  <c r="J106" i="19"/>
  <c r="I106" i="19"/>
  <c r="H106" i="19"/>
  <c r="G106" i="19"/>
  <c r="F106" i="19"/>
  <c r="E106" i="19"/>
  <c r="P105" i="19"/>
  <c r="O105" i="19"/>
  <c r="N105" i="19"/>
  <c r="M105" i="19"/>
  <c r="L105" i="19"/>
  <c r="K105" i="19"/>
  <c r="J105" i="19"/>
  <c r="I105" i="19"/>
  <c r="H105" i="19"/>
  <c r="G105" i="19"/>
  <c r="F105" i="19"/>
  <c r="E105" i="19"/>
  <c r="P104" i="19"/>
  <c r="O104" i="19"/>
  <c r="N104" i="19"/>
  <c r="M104" i="19"/>
  <c r="L104" i="19"/>
  <c r="K104" i="19"/>
  <c r="J104" i="19"/>
  <c r="I104" i="19"/>
  <c r="H104" i="19"/>
  <c r="G104" i="19"/>
  <c r="F104" i="19"/>
  <c r="E104" i="19"/>
  <c r="P102" i="19"/>
  <c r="O102" i="19"/>
  <c r="N102" i="19"/>
  <c r="M102" i="19"/>
  <c r="L102" i="19"/>
  <c r="K102" i="19"/>
  <c r="J102" i="19"/>
  <c r="I102" i="19"/>
  <c r="H102" i="19"/>
  <c r="G102" i="19"/>
  <c r="F102" i="19"/>
  <c r="E102" i="19"/>
  <c r="Q100" i="19"/>
  <c r="P99" i="19"/>
  <c r="O99" i="19"/>
  <c r="N99" i="19"/>
  <c r="M99" i="19"/>
  <c r="L99" i="19"/>
  <c r="K99" i="19"/>
  <c r="J99" i="19"/>
  <c r="I99" i="19"/>
  <c r="H99" i="19"/>
  <c r="G99" i="19"/>
  <c r="F99" i="19"/>
  <c r="E99" i="19"/>
  <c r="P98" i="19"/>
  <c r="O98" i="19"/>
  <c r="N98" i="19"/>
  <c r="M98" i="19"/>
  <c r="L98" i="19"/>
  <c r="K98" i="19"/>
  <c r="J98" i="19"/>
  <c r="I98" i="19"/>
  <c r="H98" i="19"/>
  <c r="G98" i="19"/>
  <c r="F98" i="19"/>
  <c r="E98" i="19"/>
  <c r="P97" i="19"/>
  <c r="O97" i="19"/>
  <c r="N97" i="19"/>
  <c r="M97" i="19"/>
  <c r="L97" i="19"/>
  <c r="K97" i="19"/>
  <c r="J97" i="19"/>
  <c r="I97" i="19"/>
  <c r="H97" i="19"/>
  <c r="G97" i="19"/>
  <c r="F97" i="19"/>
  <c r="E97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O89" i="19"/>
  <c r="N89" i="19"/>
  <c r="M89" i="19"/>
  <c r="L89" i="19"/>
  <c r="K89" i="19"/>
  <c r="J89" i="19"/>
  <c r="I89" i="19"/>
  <c r="H89" i="19"/>
  <c r="G89" i="19"/>
  <c r="F89" i="19"/>
  <c r="E89" i="19"/>
  <c r="P88" i="19"/>
  <c r="O88" i="19"/>
  <c r="N88" i="19"/>
  <c r="M88" i="19"/>
  <c r="L88" i="19"/>
  <c r="K88" i="19"/>
  <c r="J88" i="19"/>
  <c r="I88" i="19"/>
  <c r="H88" i="19"/>
  <c r="G88" i="19"/>
  <c r="F88" i="19"/>
  <c r="E88" i="19"/>
  <c r="P87" i="19"/>
  <c r="O87" i="19"/>
  <c r="N87" i="19"/>
  <c r="M87" i="19"/>
  <c r="L87" i="19"/>
  <c r="K87" i="19"/>
  <c r="J87" i="19"/>
  <c r="I87" i="19"/>
  <c r="H87" i="19"/>
  <c r="G87" i="19"/>
  <c r="F87" i="19"/>
  <c r="E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Q82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P78" i="19"/>
  <c r="O78" i="19"/>
  <c r="N78" i="19"/>
  <c r="M78" i="19"/>
  <c r="L78" i="19"/>
  <c r="K78" i="19"/>
  <c r="J78" i="19"/>
  <c r="I78" i="19"/>
  <c r="H78" i="19"/>
  <c r="G78" i="19"/>
  <c r="F78" i="19"/>
  <c r="E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Q73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Q64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P61" i="19"/>
  <c r="O61" i="19"/>
  <c r="N61" i="19"/>
  <c r="M61" i="19"/>
  <c r="L61" i="19"/>
  <c r="K61" i="19"/>
  <c r="J61" i="19"/>
  <c r="I61" i="19"/>
  <c r="H61" i="19"/>
  <c r="G61" i="19"/>
  <c r="F61" i="19"/>
  <c r="E61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Q46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Q37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Q28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P26" i="19"/>
  <c r="O26" i="19"/>
  <c r="N26" i="19"/>
  <c r="M26" i="19"/>
  <c r="L26" i="19"/>
  <c r="K26" i="19"/>
  <c r="J26" i="19"/>
  <c r="I26" i="19"/>
  <c r="H26" i="19"/>
  <c r="G26" i="19"/>
  <c r="F26" i="19"/>
  <c r="E26" i="19"/>
  <c r="P25" i="19"/>
  <c r="O25" i="19"/>
  <c r="N25" i="19"/>
  <c r="M25" i="19"/>
  <c r="L25" i="19"/>
  <c r="K25" i="19"/>
  <c r="J25" i="19"/>
  <c r="I25" i="19"/>
  <c r="H25" i="19"/>
  <c r="G25" i="19"/>
  <c r="F25" i="19"/>
  <c r="E25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Q10" i="19"/>
  <c r="P9" i="19"/>
  <c r="O9" i="19"/>
  <c r="N9" i="19"/>
  <c r="M9" i="19"/>
  <c r="L9" i="19"/>
  <c r="K9" i="19"/>
  <c r="J9" i="19"/>
  <c r="I9" i="19"/>
  <c r="H9" i="19"/>
  <c r="G9" i="19"/>
  <c r="F9" i="19"/>
  <c r="E9" i="19"/>
  <c r="P8" i="19"/>
  <c r="O8" i="19"/>
  <c r="N8" i="19"/>
  <c r="M8" i="19"/>
  <c r="L8" i="19"/>
  <c r="K8" i="19"/>
  <c r="J8" i="19"/>
  <c r="I8" i="19"/>
  <c r="H8" i="19"/>
  <c r="G8" i="19"/>
  <c r="F8" i="19"/>
  <c r="E8" i="19"/>
  <c r="P7" i="19"/>
  <c r="O7" i="19"/>
  <c r="N7" i="19"/>
  <c r="M7" i="19"/>
  <c r="L7" i="19"/>
  <c r="K7" i="19"/>
  <c r="J7" i="19"/>
  <c r="I7" i="19"/>
  <c r="H7" i="19"/>
  <c r="G7" i="19"/>
  <c r="F7" i="19"/>
  <c r="E7" i="19"/>
  <c r="P6" i="19"/>
  <c r="O6" i="19"/>
  <c r="N6" i="19"/>
  <c r="M6" i="19"/>
  <c r="L6" i="19"/>
  <c r="K6" i="19"/>
  <c r="J6" i="19"/>
  <c r="I6" i="19"/>
  <c r="H6" i="19"/>
  <c r="G6" i="19"/>
  <c r="F6" i="19"/>
  <c r="E6" i="19"/>
  <c r="P5" i="19"/>
  <c r="O5" i="19"/>
  <c r="N5" i="19"/>
  <c r="M5" i="19"/>
  <c r="L5" i="19"/>
  <c r="K5" i="19"/>
  <c r="J5" i="19"/>
  <c r="I5" i="19"/>
  <c r="H5" i="19"/>
  <c r="G5" i="19"/>
  <c r="F5" i="19"/>
  <c r="E5" i="19"/>
  <c r="P3" i="19"/>
  <c r="O3" i="19"/>
  <c r="N3" i="19"/>
  <c r="M3" i="19"/>
  <c r="L3" i="19"/>
  <c r="K3" i="19"/>
  <c r="J3" i="19"/>
  <c r="I3" i="19"/>
  <c r="H3" i="19"/>
  <c r="G3" i="19"/>
  <c r="F3" i="19"/>
  <c r="E3" i="19"/>
  <c r="P45" i="18"/>
  <c r="O45" i="18"/>
  <c r="N45" i="18"/>
  <c r="M45" i="18"/>
  <c r="L45" i="18"/>
  <c r="K45" i="18"/>
  <c r="J45" i="18"/>
  <c r="I45" i="18"/>
  <c r="H45" i="18"/>
  <c r="G45" i="18"/>
  <c r="F45" i="18"/>
  <c r="E45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P7" i="18"/>
  <c r="O7" i="18"/>
  <c r="N7" i="18"/>
  <c r="M7" i="18"/>
  <c r="L7" i="18"/>
  <c r="K7" i="18"/>
  <c r="J7" i="18"/>
  <c r="I7" i="18"/>
  <c r="H7" i="18"/>
  <c r="G7" i="18"/>
  <c r="F7" i="18"/>
  <c r="E7" i="18"/>
  <c r="P6" i="18"/>
  <c r="O6" i="18"/>
  <c r="N6" i="18"/>
  <c r="M6" i="18"/>
  <c r="L6" i="18"/>
  <c r="K6" i="18"/>
  <c r="J6" i="18"/>
  <c r="I6" i="18"/>
  <c r="H6" i="18"/>
  <c r="G6" i="18"/>
  <c r="F6" i="18"/>
  <c r="E6" i="18"/>
  <c r="Q140" i="19" l="1"/>
  <c r="Q142" i="19"/>
  <c r="Q144" i="19"/>
  <c r="Q2" i="19"/>
  <c r="Q58" i="19"/>
  <c r="Q48" i="19"/>
  <c r="Q51" i="19"/>
  <c r="Q53" i="19"/>
  <c r="Q68" i="19"/>
  <c r="Q70" i="19"/>
  <c r="Q72" i="19"/>
  <c r="Q102" i="19"/>
  <c r="Q105" i="19"/>
  <c r="Q107" i="19"/>
  <c r="Q20" i="19"/>
  <c r="Q56" i="19"/>
  <c r="Q7" i="18"/>
  <c r="Q23" i="18"/>
  <c r="Q29" i="18"/>
  <c r="Q33" i="18"/>
  <c r="Q45" i="18"/>
  <c r="Q5" i="19"/>
  <c r="Q7" i="19"/>
  <c r="Q9" i="19"/>
  <c r="Q30" i="19"/>
  <c r="Q33" i="19"/>
  <c r="Q35" i="19"/>
  <c r="Q84" i="19"/>
  <c r="Q87" i="19"/>
  <c r="Q89" i="19"/>
  <c r="Q122" i="19"/>
  <c r="Q124" i="19"/>
  <c r="Q126" i="19"/>
  <c r="Q156" i="19"/>
  <c r="Q159" i="19"/>
  <c r="Q161" i="19"/>
  <c r="Q14" i="19"/>
  <c r="Q16" i="19"/>
  <c r="Q18" i="19"/>
  <c r="Q39" i="19"/>
  <c r="Q42" i="19"/>
  <c r="Q44" i="19"/>
  <c r="Q59" i="19"/>
  <c r="Q61" i="19"/>
  <c r="Q63" i="19"/>
  <c r="Q93" i="19"/>
  <c r="Q96" i="19"/>
  <c r="Q98" i="19"/>
  <c r="Q131" i="19"/>
  <c r="Q133" i="19"/>
  <c r="Q135" i="19"/>
  <c r="Q23" i="19"/>
  <c r="Q25" i="19"/>
  <c r="Q27" i="19"/>
  <c r="Q77" i="19"/>
  <c r="Q79" i="19"/>
  <c r="Q81" i="19"/>
  <c r="Q111" i="19"/>
  <c r="Q114" i="19"/>
  <c r="Q116" i="19"/>
  <c r="Q149" i="19"/>
  <c r="Q151" i="19"/>
  <c r="Q153" i="19"/>
  <c r="Q128" i="19"/>
  <c r="Q6" i="18"/>
  <c r="Q22" i="18"/>
  <c r="Q28" i="18"/>
  <c r="Q32" i="18"/>
  <c r="Q44" i="18"/>
  <c r="Q3" i="19"/>
  <c r="Q6" i="19"/>
  <c r="Q8" i="19"/>
  <c r="Q32" i="19"/>
  <c r="Q34" i="19"/>
  <c r="Q36" i="19"/>
  <c r="Q57" i="19"/>
  <c r="Q86" i="19"/>
  <c r="Q88" i="19"/>
  <c r="Q90" i="19"/>
  <c r="Q120" i="19"/>
  <c r="Q123" i="19"/>
  <c r="Q125" i="19"/>
  <c r="Q158" i="19"/>
  <c r="Q160" i="19"/>
  <c r="Q162" i="19"/>
  <c r="Q12" i="19"/>
  <c r="Q15" i="19"/>
  <c r="Q17" i="19"/>
  <c r="Q41" i="19"/>
  <c r="Q43" i="19"/>
  <c r="Q45" i="19"/>
  <c r="Q60" i="19"/>
  <c r="Q62" i="19"/>
  <c r="Q95" i="19"/>
  <c r="Q97" i="19"/>
  <c r="Q99" i="19"/>
  <c r="Q129" i="19"/>
  <c r="Q132" i="19"/>
  <c r="Q134" i="19"/>
  <c r="Q50" i="19"/>
  <c r="Q52" i="19"/>
  <c r="Q54" i="19"/>
  <c r="Q66" i="19"/>
  <c r="Q69" i="19"/>
  <c r="Q71" i="19"/>
  <c r="Q104" i="19"/>
  <c r="Q106" i="19"/>
  <c r="Q108" i="19"/>
  <c r="Q138" i="19"/>
  <c r="Q141" i="19"/>
  <c r="Q143" i="19"/>
  <c r="Q22" i="19"/>
  <c r="Q21" i="19"/>
  <c r="Q24" i="19"/>
  <c r="Q26" i="19"/>
  <c r="Q75" i="19"/>
  <c r="Q78" i="19"/>
  <c r="Q80" i="19"/>
  <c r="Q113" i="19"/>
  <c r="Q115" i="19"/>
  <c r="Q117" i="19"/>
  <c r="Q147" i="19"/>
  <c r="Q150" i="19"/>
  <c r="Q152" i="19"/>
  <c r="Q92" i="19"/>
  <c r="Q94" i="19"/>
  <c r="Q130" i="19"/>
  <c r="F16" i="20"/>
  <c r="K2" i="20" s="1"/>
  <c r="G16" i="20"/>
  <c r="C26" i="20" s="1"/>
  <c r="Q157" i="19"/>
  <c r="Q155" i="19"/>
  <c r="Q148" i="19"/>
  <c r="Q146" i="19"/>
  <c r="Q139" i="19"/>
  <c r="Q137" i="19"/>
  <c r="Q121" i="19"/>
  <c r="Q119" i="19"/>
  <c r="Q112" i="19"/>
  <c r="Q110" i="19"/>
  <c r="Q103" i="19"/>
  <c r="Q101" i="19"/>
  <c r="Q85" i="19"/>
  <c r="Q83" i="19"/>
  <c r="Q76" i="19"/>
  <c r="Q74" i="19"/>
  <c r="Q67" i="19"/>
  <c r="Q65" i="19"/>
  <c r="Q49" i="19"/>
  <c r="Q47" i="19"/>
  <c r="Q40" i="19"/>
  <c r="Q38" i="19"/>
  <c r="Q31" i="19"/>
  <c r="Q29" i="19"/>
  <c r="Q13" i="19"/>
  <c r="Q11" i="19"/>
  <c r="Q4" i="19"/>
  <c r="F23" i="5" l="1"/>
  <c r="C180" i="5" s="1"/>
  <c r="F7" i="5"/>
  <c r="C164" i="5" s="1"/>
  <c r="F15" i="5"/>
  <c r="C172" i="5" s="1"/>
  <c r="F28" i="5"/>
  <c r="C185" i="5" s="1"/>
  <c r="F10" i="5"/>
  <c r="C167" i="5" s="1"/>
  <c r="F19" i="5"/>
  <c r="C176" i="5" s="1"/>
  <c r="F30" i="5"/>
  <c r="C187" i="5" s="1"/>
  <c r="F9" i="5"/>
  <c r="C166" i="5" s="1"/>
  <c r="F12" i="5"/>
  <c r="C169" i="5" s="1"/>
  <c r="F18" i="5"/>
  <c r="C175" i="5" s="1"/>
  <c r="F22" i="5"/>
  <c r="C179" i="5" s="1"/>
  <c r="F29" i="5"/>
  <c r="C186" i="5" s="1"/>
  <c r="F24" i="5"/>
  <c r="C181" i="5" s="1"/>
  <c r="F20" i="5"/>
  <c r="C177" i="5" s="1"/>
  <c r="F8" i="5"/>
  <c r="C165" i="5" s="1"/>
  <c r="F27" i="5"/>
  <c r="C184" i="5" s="1"/>
  <c r="F14" i="5"/>
  <c r="C171" i="5" s="1"/>
  <c r="F6" i="5"/>
  <c r="C163" i="5" s="1"/>
  <c r="C27" i="20"/>
  <c r="Q11" i="20" s="1"/>
  <c r="Q42" i="26" s="1"/>
  <c r="C28" i="20"/>
  <c r="S16" i="20" s="1"/>
  <c r="S47" i="26" s="1"/>
  <c r="C29" i="20"/>
  <c r="U13" i="20" s="1"/>
  <c r="U44" i="26" s="1"/>
  <c r="L8" i="20"/>
  <c r="L9" i="5" s="1"/>
  <c r="E104" i="5" s="1"/>
  <c r="L12" i="20"/>
  <c r="L13" i="5" s="1"/>
  <c r="L16" i="20"/>
  <c r="L17" i="5" s="1"/>
  <c r="L20" i="20"/>
  <c r="L21" i="5" s="1"/>
  <c r="L24" i="20"/>
  <c r="L25" i="5" s="1"/>
  <c r="L28" i="20"/>
  <c r="L29" i="5" s="1"/>
  <c r="E124" i="5" s="1"/>
  <c r="L19" i="20"/>
  <c r="L20" i="5" s="1"/>
  <c r="L6" i="20"/>
  <c r="L7" i="5" s="1"/>
  <c r="E102" i="5" s="1"/>
  <c r="L10" i="20"/>
  <c r="L11" i="5" s="1"/>
  <c r="L14" i="20"/>
  <c r="L15" i="5" s="1"/>
  <c r="L18" i="20"/>
  <c r="L19" i="5" s="1"/>
  <c r="L22" i="20"/>
  <c r="L23" i="5" s="1"/>
  <c r="E118" i="5" s="1"/>
  <c r="L26" i="20"/>
  <c r="L27" i="5" s="1"/>
  <c r="L30" i="20"/>
  <c r="L31" i="5" s="1"/>
  <c r="L11" i="20"/>
  <c r="L12" i="5" s="1"/>
  <c r="E107" i="5" s="1"/>
  <c r="L15" i="20"/>
  <c r="L16" i="5" s="1"/>
  <c r="L27" i="20"/>
  <c r="L28" i="5" s="1"/>
  <c r="L5" i="20"/>
  <c r="L6" i="5" s="1"/>
  <c r="E101" i="5" s="1"/>
  <c r="L9" i="20"/>
  <c r="L10" i="5" s="1"/>
  <c r="E105" i="5" s="1"/>
  <c r="L13" i="20"/>
  <c r="L14" i="5" s="1"/>
  <c r="E109" i="5" s="1"/>
  <c r="L17" i="20"/>
  <c r="L18" i="5" s="1"/>
  <c r="L21" i="20"/>
  <c r="L22" i="5" s="1"/>
  <c r="E117" i="5" s="1"/>
  <c r="L25" i="20"/>
  <c r="L26" i="5" s="1"/>
  <c r="L29" i="20"/>
  <c r="L30" i="5" s="1"/>
  <c r="E125" i="5" s="1"/>
  <c r="L7" i="20"/>
  <c r="L8" i="5" s="1"/>
  <c r="L23" i="20"/>
  <c r="L24" i="5" s="1"/>
  <c r="E119" i="5" s="1"/>
  <c r="L4" i="20"/>
  <c r="L5" i="5" s="1"/>
  <c r="E100" i="5" s="1"/>
  <c r="U17" i="20"/>
  <c r="U48" i="26" s="1"/>
  <c r="Q164" i="19"/>
  <c r="C189" i="5" l="1"/>
  <c r="F100" i="5"/>
  <c r="T4" i="5" s="1"/>
  <c r="D48" i="5"/>
  <c r="E111" i="5"/>
  <c r="F111" i="5" s="1"/>
  <c r="T15" i="5" s="1"/>
  <c r="D53" i="5"/>
  <c r="E116" i="5"/>
  <c r="F116" i="5" s="1"/>
  <c r="T20" i="5" s="1"/>
  <c r="D40" i="5"/>
  <c r="E103" i="5"/>
  <c r="F103" i="5" s="1"/>
  <c r="T7" i="5" s="1"/>
  <c r="D50" i="5"/>
  <c r="E113" i="5"/>
  <c r="F113" i="5" s="1"/>
  <c r="T17" i="5" s="1"/>
  <c r="D60" i="5"/>
  <c r="E123" i="5"/>
  <c r="F123" i="5" s="1"/>
  <c r="T27" i="5" s="1"/>
  <c r="D59" i="5"/>
  <c r="E122" i="5"/>
  <c r="F122" i="5" s="1"/>
  <c r="T26" i="5" s="1"/>
  <c r="D43" i="5"/>
  <c r="E106" i="5"/>
  <c r="F106" i="5" s="1"/>
  <c r="T10" i="5" s="1"/>
  <c r="D57" i="5"/>
  <c r="E120" i="5"/>
  <c r="F120" i="5" s="1"/>
  <c r="T24" i="5" s="1"/>
  <c r="D63" i="5"/>
  <c r="E126" i="5"/>
  <c r="F126" i="5" s="1"/>
  <c r="T30" i="5" s="1"/>
  <c r="D47" i="5"/>
  <c r="E110" i="5"/>
  <c r="F110" i="5" s="1"/>
  <c r="T14" i="5" s="1"/>
  <c r="D45" i="5"/>
  <c r="E108" i="5"/>
  <c r="F108" i="5" s="1"/>
  <c r="T12" i="5" s="1"/>
  <c r="D58" i="5"/>
  <c r="E121" i="5"/>
  <c r="F121" i="5" s="1"/>
  <c r="T25" i="5" s="1"/>
  <c r="D51" i="5"/>
  <c r="E114" i="5"/>
  <c r="F114" i="5" s="1"/>
  <c r="T18" i="5" s="1"/>
  <c r="D52" i="5"/>
  <c r="E115" i="5"/>
  <c r="F115" i="5" s="1"/>
  <c r="T19" i="5" s="1"/>
  <c r="D49" i="5"/>
  <c r="E112" i="5"/>
  <c r="F112" i="5" s="1"/>
  <c r="T16" i="5" s="1"/>
  <c r="F32" i="5"/>
  <c r="D37" i="5"/>
  <c r="L32" i="5"/>
  <c r="Q30" i="20"/>
  <c r="Q61" i="26" s="1"/>
  <c r="Q24" i="20"/>
  <c r="Q55" i="26" s="1"/>
  <c r="U7" i="20"/>
  <c r="U38" i="26" s="1"/>
  <c r="Q4" i="20"/>
  <c r="Q35" i="26" s="1"/>
  <c r="S22" i="20"/>
  <c r="S53" i="26" s="1"/>
  <c r="S24" i="20"/>
  <c r="S55" i="26" s="1"/>
  <c r="S28" i="20"/>
  <c r="S59" i="26" s="1"/>
  <c r="S25" i="20"/>
  <c r="S56" i="26" s="1"/>
  <c r="S12" i="20"/>
  <c r="S43" i="26" s="1"/>
  <c r="S7" i="20"/>
  <c r="S38" i="26" s="1"/>
  <c r="S27" i="20"/>
  <c r="S58" i="26" s="1"/>
  <c r="U9" i="20"/>
  <c r="U40" i="26" s="1"/>
  <c r="U16" i="20"/>
  <c r="U47" i="26" s="1"/>
  <c r="U19" i="20"/>
  <c r="U50" i="26" s="1"/>
  <c r="S17" i="20"/>
  <c r="S48" i="26" s="1"/>
  <c r="S18" i="20"/>
  <c r="S49" i="26" s="1"/>
  <c r="S21" i="20"/>
  <c r="S52" i="26" s="1"/>
  <c r="S6" i="20"/>
  <c r="S37" i="26" s="1"/>
  <c r="S19" i="20"/>
  <c r="S50" i="26" s="1"/>
  <c r="S8" i="20"/>
  <c r="S39" i="26" s="1"/>
  <c r="S23" i="20"/>
  <c r="S54" i="26" s="1"/>
  <c r="S13" i="20"/>
  <c r="S44" i="26" s="1"/>
  <c r="S14" i="20"/>
  <c r="S45" i="26" s="1"/>
  <c r="S9" i="20"/>
  <c r="S40" i="26" s="1"/>
  <c r="S5" i="20"/>
  <c r="S36" i="26" s="1"/>
  <c r="S15" i="20"/>
  <c r="S46" i="26" s="1"/>
  <c r="S30" i="20"/>
  <c r="S61" i="26" s="1"/>
  <c r="S20" i="20"/>
  <c r="S51" i="26" s="1"/>
  <c r="U6" i="20"/>
  <c r="U37" i="26" s="1"/>
  <c r="U14" i="20"/>
  <c r="U45" i="26" s="1"/>
  <c r="U24" i="20"/>
  <c r="U55" i="26" s="1"/>
  <c r="S10" i="20"/>
  <c r="S41" i="26" s="1"/>
  <c r="S29" i="20"/>
  <c r="S60" i="26" s="1"/>
  <c r="S4" i="20"/>
  <c r="S35" i="26" s="1"/>
  <c r="S11" i="20"/>
  <c r="S42" i="26" s="1"/>
  <c r="S26" i="20"/>
  <c r="S57" i="26" s="1"/>
  <c r="U25" i="20"/>
  <c r="U56" i="26" s="1"/>
  <c r="U10" i="20"/>
  <c r="U41" i="26" s="1"/>
  <c r="U29" i="20"/>
  <c r="U60" i="26" s="1"/>
  <c r="U22" i="20"/>
  <c r="U53" i="26" s="1"/>
  <c r="U20" i="20"/>
  <c r="U51" i="26" s="1"/>
  <c r="U28" i="20"/>
  <c r="U59" i="26" s="1"/>
  <c r="U18" i="20"/>
  <c r="U49" i="26" s="1"/>
  <c r="U5" i="20"/>
  <c r="U36" i="26" s="1"/>
  <c r="U15" i="20"/>
  <c r="U46" i="26" s="1"/>
  <c r="U30" i="20"/>
  <c r="U61" i="26" s="1"/>
  <c r="U12" i="20"/>
  <c r="U43" i="26" s="1"/>
  <c r="U27" i="20"/>
  <c r="U58" i="26" s="1"/>
  <c r="U21" i="20"/>
  <c r="U52" i="26" s="1"/>
  <c r="U4" i="20"/>
  <c r="U35" i="26" s="1"/>
  <c r="U11" i="20"/>
  <c r="U42" i="26" s="1"/>
  <c r="V42" i="26" s="1"/>
  <c r="U26" i="20"/>
  <c r="U57" i="26" s="1"/>
  <c r="U8" i="20"/>
  <c r="U39" i="26" s="1"/>
  <c r="U23" i="20"/>
  <c r="U54" i="26" s="1"/>
  <c r="Q22" i="20"/>
  <c r="Q53" i="26" s="1"/>
  <c r="Q9" i="20"/>
  <c r="Q40" i="26" s="1"/>
  <c r="Q16" i="20"/>
  <c r="Q47" i="26" s="1"/>
  <c r="L31" i="20"/>
  <c r="Q29" i="20"/>
  <c r="Q60" i="26" s="1"/>
  <c r="Q7" i="20"/>
  <c r="Q38" i="26" s="1"/>
  <c r="Q26" i="20"/>
  <c r="Q57" i="26" s="1"/>
  <c r="Q18" i="20"/>
  <c r="Q49" i="26" s="1"/>
  <c r="Q12" i="20"/>
  <c r="Q43" i="26" s="1"/>
  <c r="Q27" i="20"/>
  <c r="Q58" i="26" s="1"/>
  <c r="Q21" i="20"/>
  <c r="Q25" i="20"/>
  <c r="Q56" i="26" s="1"/>
  <c r="Q6" i="20"/>
  <c r="Q37" i="26" s="1"/>
  <c r="Q19" i="20"/>
  <c r="Q50" i="26" s="1"/>
  <c r="Q14" i="20"/>
  <c r="Q45" i="26" s="1"/>
  <c r="Q8" i="20"/>
  <c r="Q39" i="26" s="1"/>
  <c r="Q23" i="20"/>
  <c r="Q54" i="26" s="1"/>
  <c r="Q17" i="20"/>
  <c r="Q48" i="26" s="1"/>
  <c r="Q28" i="20"/>
  <c r="Q59" i="26" s="1"/>
  <c r="Q10" i="20"/>
  <c r="Q41" i="26" s="1"/>
  <c r="Q5" i="20"/>
  <c r="Q36" i="26" s="1"/>
  <c r="Q15" i="20"/>
  <c r="Q46" i="26" s="1"/>
  <c r="Q20" i="20"/>
  <c r="Q51" i="26" s="1"/>
  <c r="Q13" i="20"/>
  <c r="E127" i="5" l="1"/>
  <c r="V49" i="26"/>
  <c r="V55" i="26"/>
  <c r="V48" i="26"/>
  <c r="V39" i="26"/>
  <c r="V57" i="26"/>
  <c r="V58" i="26"/>
  <c r="V36" i="26"/>
  <c r="V53" i="26"/>
  <c r="V40" i="26"/>
  <c r="V60" i="26"/>
  <c r="V46" i="26"/>
  <c r="V51" i="26"/>
  <c r="V56" i="26"/>
  <c r="V37" i="26"/>
  <c r="V47" i="26"/>
  <c r="V21" i="20"/>
  <c r="N22" i="5" s="1"/>
  <c r="Q52" i="26"/>
  <c r="V52" i="26" s="1"/>
  <c r="V13" i="20"/>
  <c r="N14" i="5" s="1"/>
  <c r="E171" i="5" s="1"/>
  <c r="F171" i="5" s="1"/>
  <c r="W13" i="5" s="1"/>
  <c r="Q44" i="26"/>
  <c r="U62" i="26"/>
  <c r="V35" i="26"/>
  <c r="V54" i="26"/>
  <c r="V61" i="26"/>
  <c r="V59" i="26"/>
  <c r="V41" i="26"/>
  <c r="S62" i="26"/>
  <c r="V45" i="26"/>
  <c r="V50" i="26"/>
  <c r="V43" i="26"/>
  <c r="V38" i="26"/>
  <c r="V11" i="20"/>
  <c r="N12" i="5" s="1"/>
  <c r="E169" i="5" s="1"/>
  <c r="V16" i="20"/>
  <c r="N17" i="5" s="1"/>
  <c r="E174" i="5" s="1"/>
  <c r="F174" i="5" s="1"/>
  <c r="W16" i="5" s="1"/>
  <c r="V9" i="20"/>
  <c r="N10" i="5" s="1"/>
  <c r="E167" i="5" s="1"/>
  <c r="F167" i="5" s="1"/>
  <c r="W9" i="5" s="1"/>
  <c r="V30" i="20"/>
  <c r="N31" i="5" s="1"/>
  <c r="E188" i="5" s="1"/>
  <c r="F188" i="5" s="1"/>
  <c r="W30" i="5" s="1"/>
  <c r="V24" i="20"/>
  <c r="N25" i="5" s="1"/>
  <c r="E182" i="5" s="1"/>
  <c r="F182" i="5" s="1"/>
  <c r="W24" i="5" s="1"/>
  <c r="V27" i="20"/>
  <c r="N28" i="5" s="1"/>
  <c r="E185" i="5" s="1"/>
  <c r="F185" i="5" s="1"/>
  <c r="W27" i="5" s="1"/>
  <c r="V7" i="20"/>
  <c r="N8" i="5" s="1"/>
  <c r="E165" i="5" s="1"/>
  <c r="F165" i="5" s="1"/>
  <c r="W7" i="5" s="1"/>
  <c r="V25" i="20"/>
  <c r="N26" i="5" s="1"/>
  <c r="E183" i="5" s="1"/>
  <c r="F183" i="5" s="1"/>
  <c r="W25" i="5" s="1"/>
  <c r="V12" i="20"/>
  <c r="N13" i="5" s="1"/>
  <c r="E170" i="5" s="1"/>
  <c r="F170" i="5" s="1"/>
  <c r="W12" i="5" s="1"/>
  <c r="V4" i="20"/>
  <c r="N5" i="5" s="1"/>
  <c r="E162" i="5" s="1"/>
  <c r="V17" i="20"/>
  <c r="N18" i="5" s="1"/>
  <c r="E175" i="5" s="1"/>
  <c r="F175" i="5" s="1"/>
  <c r="W17" i="5" s="1"/>
  <c r="V19" i="20"/>
  <c r="N20" i="5" s="1"/>
  <c r="E177" i="5" s="1"/>
  <c r="F177" i="5" s="1"/>
  <c r="W19" i="5" s="1"/>
  <c r="S31" i="20"/>
  <c r="V28" i="20"/>
  <c r="N29" i="5" s="1"/>
  <c r="E186" i="5" s="1"/>
  <c r="F186" i="5" s="1"/>
  <c r="W28" i="5" s="1"/>
  <c r="V14" i="20"/>
  <c r="N15" i="5" s="1"/>
  <c r="E172" i="5" s="1"/>
  <c r="F172" i="5" s="1"/>
  <c r="W14" i="5" s="1"/>
  <c r="V20" i="20"/>
  <c r="N21" i="5" s="1"/>
  <c r="E178" i="5" s="1"/>
  <c r="F178" i="5" s="1"/>
  <c r="W20" i="5" s="1"/>
  <c r="V10" i="20"/>
  <c r="N11" i="5" s="1"/>
  <c r="E168" i="5" s="1"/>
  <c r="F168" i="5" s="1"/>
  <c r="W10" i="5" s="1"/>
  <c r="V6" i="20"/>
  <c r="N7" i="5" s="1"/>
  <c r="E164" i="5" s="1"/>
  <c r="V29" i="20"/>
  <c r="N30" i="5" s="1"/>
  <c r="E187" i="5" s="1"/>
  <c r="U31" i="20"/>
  <c r="V8" i="20"/>
  <c r="N9" i="5" s="1"/>
  <c r="E166" i="5" s="1"/>
  <c r="V18" i="20"/>
  <c r="N19" i="5" s="1"/>
  <c r="E176" i="5" s="1"/>
  <c r="F176" i="5" s="1"/>
  <c r="W18" i="5" s="1"/>
  <c r="V22" i="20"/>
  <c r="N23" i="5" s="1"/>
  <c r="E180" i="5" s="1"/>
  <c r="V26" i="20"/>
  <c r="N27" i="5" s="1"/>
  <c r="E184" i="5" s="1"/>
  <c r="F184" i="5" s="1"/>
  <c r="W26" i="5" s="1"/>
  <c r="V15" i="20"/>
  <c r="N16" i="5" s="1"/>
  <c r="E173" i="5" s="1"/>
  <c r="F173" i="5" s="1"/>
  <c r="W15" i="5" s="1"/>
  <c r="V5" i="20"/>
  <c r="N6" i="5" s="1"/>
  <c r="E163" i="5" s="1"/>
  <c r="F163" i="5" s="1"/>
  <c r="W5" i="5" s="1"/>
  <c r="V23" i="20"/>
  <c r="N24" i="5" s="1"/>
  <c r="E181" i="5" s="1"/>
  <c r="F181" i="5" s="1"/>
  <c r="W23" i="5" s="1"/>
  <c r="Q31" i="20"/>
  <c r="F162" i="5" l="1"/>
  <c r="F54" i="5"/>
  <c r="E179" i="5"/>
  <c r="F179" i="5" s="1"/>
  <c r="W21" i="5" s="1"/>
  <c r="Q62" i="26"/>
  <c r="V44" i="26"/>
  <c r="V62" i="26" s="1"/>
  <c r="F63" i="5"/>
  <c r="F53" i="5"/>
  <c r="F43" i="5"/>
  <c r="F45" i="5"/>
  <c r="F57" i="5"/>
  <c r="F49" i="5"/>
  <c r="F52" i="5"/>
  <c r="F48" i="5"/>
  <c r="F51" i="5"/>
  <c r="F61" i="5"/>
  <c r="F37" i="5"/>
  <c r="F60" i="5"/>
  <c r="F42" i="5"/>
  <c r="F59" i="5"/>
  <c r="F58" i="5"/>
  <c r="F38" i="5"/>
  <c r="F56" i="5"/>
  <c r="F47" i="5"/>
  <c r="F50" i="5"/>
  <c r="F40" i="5"/>
  <c r="N32" i="5"/>
  <c r="V31" i="20"/>
  <c r="W4" i="5" l="1"/>
  <c r="E189" i="5"/>
  <c r="J8" i="11"/>
  <c r="N5" i="11"/>
  <c r="P5" i="11" s="1"/>
  <c r="N6" i="11"/>
  <c r="P6" i="11" s="1"/>
  <c r="N7" i="11"/>
  <c r="P7" i="11" s="1"/>
  <c r="N4" i="11"/>
  <c r="P4" i="11" s="1"/>
  <c r="K5" i="11"/>
  <c r="K6" i="11"/>
  <c r="K7" i="11"/>
  <c r="K4" i="11"/>
  <c r="O4" i="11" l="1"/>
  <c r="N8" i="11"/>
  <c r="O6" i="11"/>
  <c r="L6" i="11"/>
  <c r="M6" i="11"/>
  <c r="O5" i="11"/>
  <c r="L4" i="11"/>
  <c r="M4" i="11"/>
  <c r="L7" i="11"/>
  <c r="M7" i="11"/>
  <c r="L5" i="11"/>
  <c r="M5" i="11"/>
  <c r="K8" i="11"/>
  <c r="B6" i="11" s="1"/>
  <c r="O7" i="11"/>
  <c r="P8" i="11"/>
  <c r="D6" i="11" l="1"/>
  <c r="D12" i="11" s="1"/>
  <c r="B12" i="11"/>
  <c r="O8" i="11"/>
  <c r="C6" i="11"/>
  <c r="C12" i="11" s="1"/>
  <c r="L8" i="11"/>
  <c r="M8" i="11"/>
  <c r="E6" i="11"/>
  <c r="H12" i="5" s="1"/>
  <c r="D107" i="5" s="1"/>
  <c r="F6" i="11"/>
  <c r="J12" i="5" s="1"/>
  <c r="D169" i="5" s="1"/>
  <c r="F169" i="5" s="1"/>
  <c r="W11" i="5" s="1"/>
  <c r="F11" i="11"/>
  <c r="J30" i="5" s="1"/>
  <c r="D187" i="5" s="1"/>
  <c r="F187" i="5" s="1"/>
  <c r="W29" i="5" s="1"/>
  <c r="F8" i="11"/>
  <c r="J23" i="5" s="1"/>
  <c r="D180" i="5" s="1"/>
  <c r="F180" i="5" s="1"/>
  <c r="W22" i="5" s="1"/>
  <c r="F5" i="11"/>
  <c r="J9" i="5" s="1"/>
  <c r="D166" i="5" s="1"/>
  <c r="F166" i="5" s="1"/>
  <c r="W8" i="5" s="1"/>
  <c r="F4" i="11"/>
  <c r="J7" i="5" s="1"/>
  <c r="D164" i="5" s="1"/>
  <c r="E11" i="11"/>
  <c r="H30" i="5" s="1"/>
  <c r="D125" i="5" s="1"/>
  <c r="E8" i="11"/>
  <c r="H23" i="5" s="1"/>
  <c r="D118" i="5" s="1"/>
  <c r="E7" i="11"/>
  <c r="H14" i="5" s="1"/>
  <c r="D109" i="5" s="1"/>
  <c r="E5" i="11"/>
  <c r="H9" i="5" s="1"/>
  <c r="D104" i="5" s="1"/>
  <c r="E4" i="11"/>
  <c r="H7" i="5" s="1"/>
  <c r="D102" i="5" s="1"/>
  <c r="D127" i="5" l="1"/>
  <c r="D189" i="5"/>
  <c r="F164" i="5"/>
  <c r="G11" i="11"/>
  <c r="F62" i="5" s="1"/>
  <c r="G8" i="11"/>
  <c r="F12" i="11"/>
  <c r="G4" i="11"/>
  <c r="F39" i="5" s="1"/>
  <c r="E12" i="11"/>
  <c r="G5" i="11"/>
  <c r="G7" i="11"/>
  <c r="F46" i="5" s="1"/>
  <c r="G6" i="11"/>
  <c r="F44" i="5" s="1"/>
  <c r="W6" i="5" l="1"/>
  <c r="W31" i="5" s="1"/>
  <c r="F189" i="5"/>
  <c r="F55" i="5"/>
  <c r="F41" i="5"/>
  <c r="G12" i="11"/>
  <c r="I6" i="5"/>
  <c r="D132" i="5" s="1"/>
  <c r="I7" i="5"/>
  <c r="D133" i="5" s="1"/>
  <c r="I9" i="5"/>
  <c r="D135" i="5" s="1"/>
  <c r="I12" i="5"/>
  <c r="D138" i="5" s="1"/>
  <c r="I14" i="5"/>
  <c r="D140" i="5" s="1"/>
  <c r="I23" i="5"/>
  <c r="D149" i="5" s="1"/>
  <c r="I24" i="5"/>
  <c r="D150" i="5" s="1"/>
  <c r="I29" i="5"/>
  <c r="D155" i="5" s="1"/>
  <c r="I30" i="5"/>
  <c r="D156" i="5" s="1"/>
  <c r="G6" i="5"/>
  <c r="D70" i="5" s="1"/>
  <c r="G7" i="5"/>
  <c r="D71" i="5" s="1"/>
  <c r="G9" i="5"/>
  <c r="D73" i="5" s="1"/>
  <c r="G12" i="5"/>
  <c r="D76" i="5" s="1"/>
  <c r="G14" i="5"/>
  <c r="D78" i="5" s="1"/>
  <c r="G23" i="5"/>
  <c r="D87" i="5" s="1"/>
  <c r="G24" i="5"/>
  <c r="D88" i="5" s="1"/>
  <c r="G29" i="5"/>
  <c r="D93" i="5" s="1"/>
  <c r="G30" i="5"/>
  <c r="D94" i="5" s="1"/>
  <c r="D158" i="5" l="1"/>
  <c r="D96" i="5"/>
  <c r="F64" i="5"/>
  <c r="J32" i="5"/>
  <c r="H32" i="5"/>
  <c r="I32" i="5"/>
  <c r="G32" i="5"/>
  <c r="B38" i="9" l="1"/>
  <c r="B41" i="9" s="1"/>
  <c r="I31" i="9"/>
  <c r="G31" i="9"/>
  <c r="E31" i="9"/>
  <c r="B42" i="9" l="1"/>
  <c r="B43" i="9"/>
  <c r="B44" i="9"/>
  <c r="B40" i="9"/>
  <c r="H18" i="9" l="1"/>
  <c r="H17" i="9"/>
  <c r="H16" i="9"/>
  <c r="H15" i="9"/>
  <c r="H22" i="9"/>
  <c r="H21" i="9"/>
  <c r="H20" i="9"/>
  <c r="H19" i="9"/>
  <c r="H6" i="9"/>
  <c r="H5" i="9"/>
  <c r="H4" i="9"/>
  <c r="H26" i="9"/>
  <c r="H25" i="9"/>
  <c r="H24" i="9"/>
  <c r="H23" i="9"/>
  <c r="H10" i="9"/>
  <c r="H9" i="9"/>
  <c r="H8" i="9"/>
  <c r="H7" i="9"/>
  <c r="H30" i="9"/>
  <c r="H29" i="9"/>
  <c r="H28" i="9"/>
  <c r="H27" i="9"/>
  <c r="H14" i="9"/>
  <c r="H13" i="9"/>
  <c r="H12" i="9"/>
  <c r="H11" i="9"/>
  <c r="J30" i="9"/>
  <c r="J29" i="9"/>
  <c r="J28" i="9"/>
  <c r="J27" i="9"/>
  <c r="J14" i="9"/>
  <c r="J13" i="9"/>
  <c r="J12" i="9"/>
  <c r="J11" i="9"/>
  <c r="J18" i="9"/>
  <c r="J17" i="9"/>
  <c r="J16" i="9"/>
  <c r="J15" i="9"/>
  <c r="J22" i="9"/>
  <c r="J21" i="9"/>
  <c r="J20" i="9"/>
  <c r="J19" i="9"/>
  <c r="J6" i="9"/>
  <c r="J5" i="9"/>
  <c r="J4" i="9"/>
  <c r="J26" i="9"/>
  <c r="J25" i="9"/>
  <c r="J24" i="9"/>
  <c r="J23" i="9"/>
  <c r="J10" i="9"/>
  <c r="J9" i="9"/>
  <c r="J8" i="9"/>
  <c r="J7" i="9"/>
  <c r="K26" i="26"/>
  <c r="K25" i="26"/>
  <c r="K24" i="26"/>
  <c r="K23" i="26"/>
  <c r="K10" i="26"/>
  <c r="K9" i="26"/>
  <c r="K8" i="26"/>
  <c r="K7" i="26"/>
  <c r="K30" i="26"/>
  <c r="K29" i="26"/>
  <c r="K28" i="26"/>
  <c r="K27" i="26"/>
  <c r="K14" i="26"/>
  <c r="K13" i="26"/>
  <c r="K12" i="26"/>
  <c r="K11" i="26"/>
  <c r="K18" i="26"/>
  <c r="K17" i="26"/>
  <c r="K16" i="26"/>
  <c r="K15" i="26"/>
  <c r="K22" i="26"/>
  <c r="K21" i="26"/>
  <c r="K20" i="26"/>
  <c r="K19" i="26"/>
  <c r="K6" i="26"/>
  <c r="K5" i="26"/>
  <c r="K4" i="26"/>
  <c r="F22" i="9"/>
  <c r="F21" i="9"/>
  <c r="F20" i="9"/>
  <c r="F19" i="9"/>
  <c r="F6" i="9"/>
  <c r="F5" i="9"/>
  <c r="F4" i="9"/>
  <c r="F26" i="9"/>
  <c r="F25" i="9"/>
  <c r="F24" i="9"/>
  <c r="F23" i="9"/>
  <c r="F10" i="9"/>
  <c r="F9" i="9"/>
  <c r="F8" i="9"/>
  <c r="F7" i="9"/>
  <c r="F30" i="9"/>
  <c r="F29" i="9"/>
  <c r="F28" i="9"/>
  <c r="F27" i="9"/>
  <c r="F14" i="9"/>
  <c r="F13" i="9"/>
  <c r="F12" i="9"/>
  <c r="F11" i="9"/>
  <c r="F18" i="9"/>
  <c r="F17" i="9"/>
  <c r="F16" i="9"/>
  <c r="F15" i="9"/>
  <c r="K31" i="26" l="1"/>
  <c r="K11" i="9"/>
  <c r="L11" i="9" s="1"/>
  <c r="K7" i="9"/>
  <c r="L7" i="9" s="1"/>
  <c r="K12" i="9"/>
  <c r="L12" i="9" s="1"/>
  <c r="K15" i="9"/>
  <c r="K27" i="9"/>
  <c r="L27" i="9" s="1"/>
  <c r="K23" i="9"/>
  <c r="K20" i="9"/>
  <c r="L20" i="9" s="1"/>
  <c r="K24" i="9"/>
  <c r="K16" i="9"/>
  <c r="K28" i="9"/>
  <c r="L28" i="9" s="1"/>
  <c r="K21" i="9"/>
  <c r="K13" i="9"/>
  <c r="K13" i="5"/>
  <c r="K22" i="5"/>
  <c r="E86" i="5" s="1"/>
  <c r="K14" i="5"/>
  <c r="E78" i="5" s="1"/>
  <c r="K10" i="5"/>
  <c r="E74" i="5" s="1"/>
  <c r="K9" i="5"/>
  <c r="E73" i="5" s="1"/>
  <c r="K23" i="5"/>
  <c r="E87" i="5" s="1"/>
  <c r="K15" i="5"/>
  <c r="K11" i="5"/>
  <c r="K29" i="9"/>
  <c r="K22" i="9"/>
  <c r="K28" i="5"/>
  <c r="K24" i="5"/>
  <c r="E88" i="5" s="1"/>
  <c r="K21" i="5"/>
  <c r="K17" i="9"/>
  <c r="K25" i="9"/>
  <c r="K16" i="5"/>
  <c r="K5" i="5"/>
  <c r="E69" i="5" s="1"/>
  <c r="K17" i="5"/>
  <c r="K29" i="5"/>
  <c r="E93" i="5" s="1"/>
  <c r="K25" i="5"/>
  <c r="L24" i="9"/>
  <c r="K6" i="5"/>
  <c r="E70" i="5" s="1"/>
  <c r="K18" i="5"/>
  <c r="K30" i="5"/>
  <c r="E94" i="5" s="1"/>
  <c r="K26" i="5"/>
  <c r="K8" i="9"/>
  <c r="K5" i="9"/>
  <c r="K7" i="5"/>
  <c r="E71" i="5" s="1"/>
  <c r="K19" i="5"/>
  <c r="K31" i="5"/>
  <c r="K27" i="5"/>
  <c r="K9" i="9"/>
  <c r="K6" i="9"/>
  <c r="K20" i="5"/>
  <c r="K12" i="5"/>
  <c r="E76" i="5" s="1"/>
  <c r="K8" i="5"/>
  <c r="K18" i="9"/>
  <c r="K14" i="9"/>
  <c r="K30" i="9"/>
  <c r="K10" i="9"/>
  <c r="K26" i="9"/>
  <c r="K19" i="9"/>
  <c r="H31" i="9"/>
  <c r="F31" i="9"/>
  <c r="K4" i="9"/>
  <c r="J31" i="9"/>
  <c r="C51" i="5" l="1"/>
  <c r="E83" i="5"/>
  <c r="F83" i="5" s="1"/>
  <c r="S18" i="5" s="1"/>
  <c r="U18" i="5" s="1"/>
  <c r="C58" i="5"/>
  <c r="E90" i="5"/>
  <c r="F90" i="5" s="1"/>
  <c r="S25" i="5" s="1"/>
  <c r="U25" i="5" s="1"/>
  <c r="F69" i="5"/>
  <c r="S4" i="5" s="1"/>
  <c r="C53" i="5"/>
  <c r="E85" i="5"/>
  <c r="F85" i="5" s="1"/>
  <c r="S20" i="5" s="1"/>
  <c r="U20" i="5" s="1"/>
  <c r="C45" i="5"/>
  <c r="E77" i="5"/>
  <c r="F77" i="5" s="1"/>
  <c r="S12" i="5" s="1"/>
  <c r="U12" i="5" s="1"/>
  <c r="C52" i="5"/>
  <c r="E84" i="5"/>
  <c r="F84" i="5" s="1"/>
  <c r="S19" i="5" s="1"/>
  <c r="U19" i="5" s="1"/>
  <c r="C63" i="5"/>
  <c r="E95" i="5"/>
  <c r="F95" i="5" s="1"/>
  <c r="S30" i="5" s="1"/>
  <c r="U30" i="5" s="1"/>
  <c r="C49" i="5"/>
  <c r="E81" i="5"/>
  <c r="F81" i="5" s="1"/>
  <c r="S16" i="5" s="1"/>
  <c r="U16" i="5" s="1"/>
  <c r="C59" i="5"/>
  <c r="E91" i="5"/>
  <c r="F91" i="5" s="1"/>
  <c r="S26" i="5" s="1"/>
  <c r="U26" i="5" s="1"/>
  <c r="C50" i="5"/>
  <c r="E82" i="5"/>
  <c r="F82" i="5" s="1"/>
  <c r="S17" i="5" s="1"/>
  <c r="U17" i="5" s="1"/>
  <c r="C60" i="5"/>
  <c r="E92" i="5"/>
  <c r="F92" i="5" s="1"/>
  <c r="S27" i="5" s="1"/>
  <c r="U27" i="5" s="1"/>
  <c r="C47" i="5"/>
  <c r="E79" i="5"/>
  <c r="F79" i="5" s="1"/>
  <c r="S14" i="5" s="1"/>
  <c r="U14" i="5" s="1"/>
  <c r="C40" i="5"/>
  <c r="E72" i="5"/>
  <c r="F72" i="5" s="1"/>
  <c r="S7" i="5" s="1"/>
  <c r="U7" i="5" s="1"/>
  <c r="C57" i="5"/>
  <c r="E89" i="5"/>
  <c r="F89" i="5" s="1"/>
  <c r="S24" i="5" s="1"/>
  <c r="U24" i="5" s="1"/>
  <c r="C48" i="5"/>
  <c r="E80" i="5"/>
  <c r="F80" i="5" s="1"/>
  <c r="S15" i="5" s="1"/>
  <c r="U15" i="5" s="1"/>
  <c r="C43" i="5"/>
  <c r="E75" i="5"/>
  <c r="F75" i="5" s="1"/>
  <c r="S10" i="5" s="1"/>
  <c r="U10" i="5" s="1"/>
  <c r="M17" i="5"/>
  <c r="M25" i="5"/>
  <c r="M20" i="5"/>
  <c r="E146" i="5" s="1"/>
  <c r="M23" i="5"/>
  <c r="E149" i="5" s="1"/>
  <c r="M18" i="5"/>
  <c r="E144" i="5" s="1"/>
  <c r="M24" i="5"/>
  <c r="E150" i="5" s="1"/>
  <c r="M12" i="5"/>
  <c r="E138" i="5" s="1"/>
  <c r="M26" i="5"/>
  <c r="M27" i="5"/>
  <c r="E153" i="5" s="1"/>
  <c r="M30" i="5"/>
  <c r="E156" i="5" s="1"/>
  <c r="M11" i="5"/>
  <c r="M6" i="5"/>
  <c r="E132" i="5" s="1"/>
  <c r="M28" i="5"/>
  <c r="E154" i="5" s="1"/>
  <c r="M8" i="5"/>
  <c r="E134" i="5" s="1"/>
  <c r="M31" i="5"/>
  <c r="M9" i="5"/>
  <c r="E135" i="5" s="1"/>
  <c r="M14" i="5"/>
  <c r="E140" i="5" s="1"/>
  <c r="M16" i="5"/>
  <c r="L4" i="9"/>
  <c r="M15" i="5"/>
  <c r="E141" i="5" s="1"/>
  <c r="M7" i="5"/>
  <c r="E133" i="5" s="1"/>
  <c r="L23" i="9"/>
  <c r="M22" i="5"/>
  <c r="E148" i="5" s="1"/>
  <c r="M21" i="5"/>
  <c r="M13" i="5"/>
  <c r="M19" i="5"/>
  <c r="E145" i="5" s="1"/>
  <c r="M10" i="5"/>
  <c r="E136" i="5" s="1"/>
  <c r="L29" i="9"/>
  <c r="M29" i="5"/>
  <c r="E155" i="5" s="1"/>
  <c r="L15" i="9"/>
  <c r="L13" i="9"/>
  <c r="L21" i="9"/>
  <c r="L16" i="9"/>
  <c r="L26" i="9"/>
  <c r="L17" i="9"/>
  <c r="L22" i="9"/>
  <c r="L9" i="9"/>
  <c r="L6" i="9"/>
  <c r="L10" i="9"/>
  <c r="L5" i="9"/>
  <c r="L14" i="9"/>
  <c r="C37" i="5"/>
  <c r="K32" i="5"/>
  <c r="L30" i="9"/>
  <c r="L25" i="9"/>
  <c r="K31" i="9"/>
  <c r="L31" i="9" s="1"/>
  <c r="M5" i="5"/>
  <c r="E131" i="5" s="1"/>
  <c r="L19" i="9"/>
  <c r="L18" i="9"/>
  <c r="L8" i="9"/>
  <c r="U4" i="5" l="1"/>
  <c r="F131" i="5"/>
  <c r="V4" i="5" s="1"/>
  <c r="E58" i="5"/>
  <c r="E152" i="5"/>
  <c r="F152" i="5" s="1"/>
  <c r="V25" i="5" s="1"/>
  <c r="X25" i="5" s="1"/>
  <c r="E49" i="5"/>
  <c r="E143" i="5"/>
  <c r="F143" i="5" s="1"/>
  <c r="V16" i="5" s="1"/>
  <c r="X16" i="5" s="1"/>
  <c r="E57" i="5"/>
  <c r="E151" i="5"/>
  <c r="F151" i="5" s="1"/>
  <c r="V24" i="5" s="1"/>
  <c r="X24" i="5" s="1"/>
  <c r="E53" i="5"/>
  <c r="E147" i="5"/>
  <c r="F147" i="5" s="1"/>
  <c r="V20" i="5" s="1"/>
  <c r="X20" i="5" s="1"/>
  <c r="E45" i="5"/>
  <c r="E139" i="5"/>
  <c r="F139" i="5" s="1"/>
  <c r="V12" i="5" s="1"/>
  <c r="X12" i="5" s="1"/>
  <c r="E48" i="5"/>
  <c r="E142" i="5"/>
  <c r="F142" i="5" s="1"/>
  <c r="V15" i="5" s="1"/>
  <c r="X15" i="5" s="1"/>
  <c r="E63" i="5"/>
  <c r="E157" i="5"/>
  <c r="F157" i="5" s="1"/>
  <c r="V30" i="5" s="1"/>
  <c r="X30" i="5" s="1"/>
  <c r="E43" i="5"/>
  <c r="E137" i="5"/>
  <c r="F137" i="5" s="1"/>
  <c r="V10" i="5" s="1"/>
  <c r="X10" i="5" s="1"/>
  <c r="E96" i="5"/>
  <c r="E37" i="5"/>
  <c r="M32" i="5"/>
  <c r="X4" i="5" l="1"/>
  <c r="E158" i="5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AC27" i="3" l="1"/>
  <c r="AB27" i="3"/>
  <c r="AB34" i="3" s="1"/>
  <c r="Q22" i="6"/>
  <c r="Q23" i="6"/>
  <c r="Q28" i="6"/>
  <c r="Q29" i="6"/>
  <c r="Q32" i="6"/>
  <c r="Q33" i="6"/>
  <c r="Q44" i="6"/>
  <c r="Q45" i="6"/>
  <c r="Q6" i="6"/>
  <c r="Q7" i="6"/>
  <c r="P43" i="6"/>
  <c r="P42" i="6"/>
  <c r="O43" i="6"/>
  <c r="O42" i="6"/>
  <c r="N43" i="6"/>
  <c r="N42" i="6"/>
  <c r="M43" i="6"/>
  <c r="M42" i="6"/>
  <c r="L43" i="6"/>
  <c r="L42" i="6"/>
  <c r="K43" i="6"/>
  <c r="K42" i="6"/>
  <c r="J43" i="6"/>
  <c r="J42" i="6"/>
  <c r="I43" i="6"/>
  <c r="I42" i="6"/>
  <c r="H43" i="6"/>
  <c r="H42" i="6"/>
  <c r="G43" i="6"/>
  <c r="G42" i="6"/>
  <c r="F43" i="6"/>
  <c r="F42" i="6"/>
  <c r="P31" i="6"/>
  <c r="P30" i="6"/>
  <c r="O31" i="6"/>
  <c r="O30" i="6"/>
  <c r="N31" i="6"/>
  <c r="N30" i="6"/>
  <c r="M31" i="6"/>
  <c r="M30" i="6"/>
  <c r="L31" i="6"/>
  <c r="L30" i="6"/>
  <c r="K31" i="6"/>
  <c r="K30" i="6"/>
  <c r="J31" i="6"/>
  <c r="J30" i="6"/>
  <c r="I31" i="6"/>
  <c r="I30" i="6"/>
  <c r="H31" i="6"/>
  <c r="H30" i="6"/>
  <c r="G31" i="6"/>
  <c r="G30" i="6"/>
  <c r="F31" i="6"/>
  <c r="F30" i="6"/>
  <c r="P27" i="6"/>
  <c r="P26" i="6"/>
  <c r="O27" i="6"/>
  <c r="O26" i="6"/>
  <c r="N27" i="6"/>
  <c r="N26" i="6"/>
  <c r="M27" i="6"/>
  <c r="M26" i="6"/>
  <c r="L27" i="6"/>
  <c r="L26" i="6"/>
  <c r="K27" i="6"/>
  <c r="K26" i="6"/>
  <c r="J27" i="6"/>
  <c r="J26" i="6"/>
  <c r="I27" i="6"/>
  <c r="I26" i="6"/>
  <c r="H27" i="6"/>
  <c r="H26" i="6"/>
  <c r="G27" i="6"/>
  <c r="G26" i="6"/>
  <c r="F27" i="6"/>
  <c r="F26" i="6"/>
  <c r="P25" i="6"/>
  <c r="P24" i="6"/>
  <c r="O25" i="6"/>
  <c r="O24" i="6"/>
  <c r="N25" i="6"/>
  <c r="N24" i="6"/>
  <c r="M25" i="6"/>
  <c r="M24" i="6"/>
  <c r="L25" i="6"/>
  <c r="L24" i="6"/>
  <c r="K25" i="6"/>
  <c r="K24" i="6"/>
  <c r="J25" i="6"/>
  <c r="J24" i="6"/>
  <c r="I25" i="6"/>
  <c r="I24" i="6"/>
  <c r="H25" i="6"/>
  <c r="H24" i="6"/>
  <c r="G25" i="6"/>
  <c r="G24" i="6"/>
  <c r="F25" i="6"/>
  <c r="F24" i="6"/>
  <c r="P9" i="6"/>
  <c r="P8" i="6"/>
  <c r="O9" i="6"/>
  <c r="O8" i="6"/>
  <c r="N9" i="6"/>
  <c r="N8" i="6"/>
  <c r="M9" i="6"/>
  <c r="M8" i="6"/>
  <c r="L9" i="6"/>
  <c r="L8" i="6"/>
  <c r="K9" i="6"/>
  <c r="K8" i="6"/>
  <c r="J9" i="6"/>
  <c r="J8" i="6"/>
  <c r="I9" i="6"/>
  <c r="I8" i="6"/>
  <c r="H9" i="6"/>
  <c r="H8" i="6"/>
  <c r="G9" i="6"/>
  <c r="G8" i="6"/>
  <c r="F9" i="6"/>
  <c r="F8" i="6"/>
  <c r="E43" i="6"/>
  <c r="E42" i="6"/>
  <c r="E31" i="6"/>
  <c r="E30" i="6"/>
  <c r="E27" i="6"/>
  <c r="E26" i="6"/>
  <c r="E25" i="6"/>
  <c r="E24" i="6"/>
  <c r="Q24" i="6" l="1"/>
  <c r="E24" i="18"/>
  <c r="J8" i="18"/>
  <c r="H24" i="18"/>
  <c r="G42" i="18"/>
  <c r="F9" i="18"/>
  <c r="J9" i="18"/>
  <c r="N9" i="18"/>
  <c r="H25" i="18"/>
  <c r="L25" i="18"/>
  <c r="P25" i="18"/>
  <c r="I27" i="18"/>
  <c r="M27" i="18"/>
  <c r="F31" i="18"/>
  <c r="J31" i="18"/>
  <c r="N31" i="18"/>
  <c r="G43" i="18"/>
  <c r="K43" i="18"/>
  <c r="O43" i="18"/>
  <c r="N30" i="18"/>
  <c r="E25" i="18"/>
  <c r="Q26" i="6"/>
  <c r="E26" i="18"/>
  <c r="G8" i="18"/>
  <c r="K8" i="18"/>
  <c r="O8" i="18"/>
  <c r="I24" i="18"/>
  <c r="M24" i="18"/>
  <c r="F26" i="18"/>
  <c r="J26" i="18"/>
  <c r="N26" i="18"/>
  <c r="G30" i="18"/>
  <c r="K30" i="18"/>
  <c r="O30" i="18"/>
  <c r="H42" i="18"/>
  <c r="L42" i="18"/>
  <c r="P42" i="18"/>
  <c r="N8" i="18"/>
  <c r="K9" i="18"/>
  <c r="I25" i="18"/>
  <c r="M25" i="18"/>
  <c r="F27" i="18"/>
  <c r="J27" i="18"/>
  <c r="N27" i="18"/>
  <c r="G31" i="18"/>
  <c r="K31" i="18"/>
  <c r="O31" i="18"/>
  <c r="H43" i="18"/>
  <c r="L43" i="18"/>
  <c r="P43" i="18"/>
  <c r="J30" i="18"/>
  <c r="O9" i="18"/>
  <c r="Q30" i="6"/>
  <c r="E30" i="18"/>
  <c r="H8" i="18"/>
  <c r="L8" i="18"/>
  <c r="P8" i="18"/>
  <c r="F24" i="18"/>
  <c r="J24" i="18"/>
  <c r="N24" i="18"/>
  <c r="G26" i="18"/>
  <c r="K26" i="18"/>
  <c r="O26" i="18"/>
  <c r="H30" i="18"/>
  <c r="L30" i="18"/>
  <c r="P30" i="18"/>
  <c r="I42" i="18"/>
  <c r="M42" i="18"/>
  <c r="P24" i="18"/>
  <c r="M26" i="18"/>
  <c r="K42" i="18"/>
  <c r="G9" i="18"/>
  <c r="Q31" i="6"/>
  <c r="E31" i="18"/>
  <c r="H9" i="18"/>
  <c r="L9" i="18"/>
  <c r="P9" i="18"/>
  <c r="F25" i="18"/>
  <c r="J25" i="18"/>
  <c r="N25" i="18"/>
  <c r="G27" i="18"/>
  <c r="K27" i="18"/>
  <c r="O27" i="18"/>
  <c r="H31" i="18"/>
  <c r="L31" i="18"/>
  <c r="P31" i="18"/>
  <c r="I43" i="18"/>
  <c r="M43" i="18"/>
  <c r="L24" i="18"/>
  <c r="I26" i="18"/>
  <c r="O42" i="18"/>
  <c r="Q27" i="6"/>
  <c r="E27" i="18"/>
  <c r="Q42" i="6"/>
  <c r="E42" i="18"/>
  <c r="I8" i="18"/>
  <c r="M8" i="18"/>
  <c r="G24" i="18"/>
  <c r="K24" i="18"/>
  <c r="O24" i="18"/>
  <c r="H26" i="18"/>
  <c r="L26" i="18"/>
  <c r="P26" i="18"/>
  <c r="I30" i="18"/>
  <c r="M30" i="18"/>
  <c r="F42" i="18"/>
  <c r="J42" i="18"/>
  <c r="N42" i="18"/>
  <c r="Q25" i="6"/>
  <c r="C14" i="5" s="1"/>
  <c r="F8" i="18"/>
  <c r="F30" i="18"/>
  <c r="Q43" i="6"/>
  <c r="E43" i="18"/>
  <c r="I9" i="18"/>
  <c r="M9" i="18"/>
  <c r="G25" i="18"/>
  <c r="K25" i="18"/>
  <c r="O25" i="18"/>
  <c r="H27" i="18"/>
  <c r="L27" i="18"/>
  <c r="P27" i="18"/>
  <c r="I31" i="18"/>
  <c r="M31" i="18"/>
  <c r="F43" i="18"/>
  <c r="J43" i="18"/>
  <c r="N43" i="18"/>
  <c r="E9" i="6"/>
  <c r="E8" i="6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D54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D45" i="3"/>
  <c r="AA33" i="3"/>
  <c r="AA34" i="3" s="1"/>
  <c r="Y33" i="3"/>
  <c r="Y34" i="3" s="1"/>
  <c r="W33" i="3"/>
  <c r="W34" i="3" s="1"/>
  <c r="U33" i="3"/>
  <c r="U34" i="3" s="1"/>
  <c r="S33" i="3"/>
  <c r="S34" i="3" s="1"/>
  <c r="Q33" i="3"/>
  <c r="Q34" i="3" s="1"/>
  <c r="O33" i="3"/>
  <c r="O34" i="3" s="1"/>
  <c r="M33" i="3"/>
  <c r="M34" i="3" s="1"/>
  <c r="K33" i="3"/>
  <c r="K34" i="3" s="1"/>
  <c r="I33" i="3"/>
  <c r="I34" i="3" s="1"/>
  <c r="G33" i="3"/>
  <c r="G34" i="3" s="1"/>
  <c r="E33" i="3"/>
  <c r="F34" i="3"/>
  <c r="H34" i="3"/>
  <c r="J34" i="3"/>
  <c r="L34" i="3"/>
  <c r="N34" i="3"/>
  <c r="P34" i="3"/>
  <c r="R34" i="3"/>
  <c r="T34" i="3"/>
  <c r="V34" i="3"/>
  <c r="X34" i="3"/>
  <c r="Z34" i="3"/>
  <c r="D3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D15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D9" i="3"/>
  <c r="E10" i="6" s="1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D4" i="3"/>
  <c r="C46" i="5" l="1"/>
  <c r="C78" i="5"/>
  <c r="F78" i="5" s="1"/>
  <c r="S13" i="5" s="1"/>
  <c r="E34" i="3"/>
  <c r="AC33" i="3"/>
  <c r="AC34" i="3" s="1"/>
  <c r="C23" i="5"/>
  <c r="Q31" i="18"/>
  <c r="C30" i="5"/>
  <c r="J4" i="6"/>
  <c r="J2" i="6"/>
  <c r="P34" i="6"/>
  <c r="P36" i="6"/>
  <c r="M5" i="6"/>
  <c r="M3" i="6"/>
  <c r="I5" i="6"/>
  <c r="I3" i="6"/>
  <c r="E3" i="6"/>
  <c r="M13" i="6"/>
  <c r="M11" i="6"/>
  <c r="I13" i="6"/>
  <c r="I11" i="6"/>
  <c r="M17" i="6"/>
  <c r="M15" i="6"/>
  <c r="I17" i="6"/>
  <c r="I15" i="6"/>
  <c r="E17" i="6"/>
  <c r="E15" i="6"/>
  <c r="O35" i="6"/>
  <c r="O37" i="6"/>
  <c r="K35" i="6"/>
  <c r="K37" i="6"/>
  <c r="G35" i="6"/>
  <c r="G37" i="6"/>
  <c r="O39" i="6"/>
  <c r="O41" i="6"/>
  <c r="K39" i="6"/>
  <c r="K41" i="6"/>
  <c r="G39" i="6"/>
  <c r="G41" i="6"/>
  <c r="E11" i="6"/>
  <c r="N12" i="6"/>
  <c r="N10" i="6"/>
  <c r="H38" i="6"/>
  <c r="H40" i="6"/>
  <c r="E2" i="6"/>
  <c r="M4" i="6"/>
  <c r="M2" i="6"/>
  <c r="I4" i="6"/>
  <c r="I2" i="6"/>
  <c r="M12" i="6"/>
  <c r="M10" i="6"/>
  <c r="I12" i="6"/>
  <c r="I10" i="6"/>
  <c r="E16" i="6"/>
  <c r="M16" i="6"/>
  <c r="M14" i="6"/>
  <c r="I16" i="6"/>
  <c r="I14" i="6"/>
  <c r="O34" i="6"/>
  <c r="O36" i="6"/>
  <c r="K34" i="6"/>
  <c r="K36" i="6"/>
  <c r="G34" i="6"/>
  <c r="G36" i="6"/>
  <c r="O40" i="6"/>
  <c r="O38" i="6"/>
  <c r="K40" i="6"/>
  <c r="K38" i="6"/>
  <c r="G38" i="6"/>
  <c r="G40" i="6"/>
  <c r="E12" i="6"/>
  <c r="Q27" i="18"/>
  <c r="N16" i="6"/>
  <c r="N14" i="6"/>
  <c r="H34" i="6"/>
  <c r="H36" i="6"/>
  <c r="L5" i="6"/>
  <c r="L3" i="6"/>
  <c r="P17" i="6"/>
  <c r="P15" i="6"/>
  <c r="L17" i="6"/>
  <c r="L15" i="6"/>
  <c r="H17" i="6"/>
  <c r="H15" i="6"/>
  <c r="P19" i="6"/>
  <c r="P21" i="6"/>
  <c r="N35" i="6"/>
  <c r="N37" i="6"/>
  <c r="J35" i="6"/>
  <c r="J37" i="6"/>
  <c r="F35" i="6"/>
  <c r="F37" i="6"/>
  <c r="N41" i="6"/>
  <c r="N39" i="6"/>
  <c r="J41" i="6"/>
  <c r="J39" i="6"/>
  <c r="F41" i="6"/>
  <c r="F39" i="6"/>
  <c r="E13" i="6"/>
  <c r="N4" i="6"/>
  <c r="N2" i="6"/>
  <c r="L36" i="6"/>
  <c r="L34" i="6"/>
  <c r="H13" i="6"/>
  <c r="H11" i="6"/>
  <c r="P4" i="6"/>
  <c r="P2" i="6"/>
  <c r="L4" i="6"/>
  <c r="L2" i="6"/>
  <c r="H4" i="6"/>
  <c r="H2" i="6"/>
  <c r="P12" i="6"/>
  <c r="P10" i="6"/>
  <c r="L12" i="6"/>
  <c r="L10" i="6"/>
  <c r="H12" i="6"/>
  <c r="H10" i="6"/>
  <c r="P16" i="6"/>
  <c r="P14" i="6"/>
  <c r="L16" i="6"/>
  <c r="L14" i="6"/>
  <c r="H14" i="6"/>
  <c r="H16" i="6"/>
  <c r="P18" i="6"/>
  <c r="P20" i="6"/>
  <c r="N34" i="6"/>
  <c r="N36" i="6"/>
  <c r="J34" i="6"/>
  <c r="J36" i="6"/>
  <c r="F36" i="6"/>
  <c r="F34" i="6"/>
  <c r="N40" i="6"/>
  <c r="N38" i="6"/>
  <c r="J40" i="6"/>
  <c r="J38" i="6"/>
  <c r="F40" i="6"/>
  <c r="F38" i="6"/>
  <c r="E4" i="6"/>
  <c r="Q26" i="18"/>
  <c r="F10" i="6"/>
  <c r="F12" i="6"/>
  <c r="L38" i="6"/>
  <c r="L40" i="6"/>
  <c r="L13" i="6"/>
  <c r="L11" i="6"/>
  <c r="O5" i="6"/>
  <c r="O3" i="6"/>
  <c r="K5" i="6"/>
  <c r="K3" i="6"/>
  <c r="G5" i="6"/>
  <c r="G3" i="6"/>
  <c r="O13" i="6"/>
  <c r="O11" i="6"/>
  <c r="K13" i="6"/>
  <c r="K11" i="6"/>
  <c r="G13" i="6"/>
  <c r="G11" i="6"/>
  <c r="O15" i="6"/>
  <c r="O17" i="6"/>
  <c r="K15" i="6"/>
  <c r="K17" i="6"/>
  <c r="G15" i="6"/>
  <c r="G17" i="6"/>
  <c r="O19" i="6"/>
  <c r="O21" i="6"/>
  <c r="M37" i="6"/>
  <c r="M35" i="6"/>
  <c r="I37" i="6"/>
  <c r="I35" i="6"/>
  <c r="E35" i="6"/>
  <c r="E37" i="6"/>
  <c r="M41" i="6"/>
  <c r="M39" i="6"/>
  <c r="I41" i="6"/>
  <c r="I39" i="6"/>
  <c r="E41" i="6"/>
  <c r="E39" i="6"/>
  <c r="E5" i="6"/>
  <c r="Q43" i="18"/>
  <c r="C22" i="5"/>
  <c r="J10" i="6"/>
  <c r="J12" i="6"/>
  <c r="E10" i="18"/>
  <c r="P13" i="6"/>
  <c r="P11" i="6"/>
  <c r="O4" i="6"/>
  <c r="O2" i="6"/>
  <c r="K4" i="6"/>
  <c r="K2" i="6"/>
  <c r="G4" i="6"/>
  <c r="G2" i="6"/>
  <c r="O10" i="6"/>
  <c r="O12" i="6"/>
  <c r="K10" i="6"/>
  <c r="K12" i="6"/>
  <c r="G10" i="6"/>
  <c r="G12" i="6"/>
  <c r="O14" i="6"/>
  <c r="O16" i="6"/>
  <c r="K14" i="6"/>
  <c r="K16" i="6"/>
  <c r="G14" i="6"/>
  <c r="G16" i="6"/>
  <c r="E34" i="6"/>
  <c r="E36" i="6"/>
  <c r="M36" i="6"/>
  <c r="M34" i="6"/>
  <c r="I36" i="6"/>
  <c r="I34" i="6"/>
  <c r="E40" i="6"/>
  <c r="E38" i="6"/>
  <c r="M40" i="6"/>
  <c r="M38" i="6"/>
  <c r="I38" i="6"/>
  <c r="I40" i="6"/>
  <c r="Q8" i="6"/>
  <c r="E8" i="18"/>
  <c r="Q8" i="18" s="1"/>
  <c r="E14" i="6"/>
  <c r="Q24" i="18"/>
  <c r="F4" i="6"/>
  <c r="F2" i="6"/>
  <c r="J16" i="6"/>
  <c r="J14" i="6"/>
  <c r="F16" i="6"/>
  <c r="F14" i="6"/>
  <c r="P38" i="6"/>
  <c r="P40" i="6"/>
  <c r="P5" i="6"/>
  <c r="P3" i="6"/>
  <c r="H5" i="6"/>
  <c r="H3" i="6"/>
  <c r="N3" i="6"/>
  <c r="N5" i="6"/>
  <c r="J3" i="6"/>
  <c r="J5" i="6"/>
  <c r="F3" i="6"/>
  <c r="F5" i="6"/>
  <c r="N11" i="6"/>
  <c r="N13" i="6"/>
  <c r="J11" i="6"/>
  <c r="J13" i="6"/>
  <c r="F11" i="6"/>
  <c r="F13" i="6"/>
  <c r="N17" i="6"/>
  <c r="N15" i="6"/>
  <c r="J17" i="6"/>
  <c r="J15" i="6"/>
  <c r="F17" i="6"/>
  <c r="F15" i="6"/>
  <c r="P37" i="6"/>
  <c r="P35" i="6"/>
  <c r="L37" i="6"/>
  <c r="L35" i="6"/>
  <c r="H37" i="6"/>
  <c r="H35" i="6"/>
  <c r="P39" i="6"/>
  <c r="P41" i="6"/>
  <c r="L39" i="6"/>
  <c r="L41" i="6"/>
  <c r="H39" i="6"/>
  <c r="H41" i="6"/>
  <c r="Q9" i="6"/>
  <c r="E9" i="18"/>
  <c r="Q9" i="18" s="1"/>
  <c r="Q42" i="18"/>
  <c r="Q30" i="18"/>
  <c r="Q25" i="18"/>
  <c r="O18" i="6"/>
  <c r="O20" i="6"/>
  <c r="N21" i="6"/>
  <c r="N19" i="6"/>
  <c r="N20" i="6"/>
  <c r="N18" i="6"/>
  <c r="M21" i="6"/>
  <c r="M19" i="6"/>
  <c r="M20" i="6"/>
  <c r="M18" i="6"/>
  <c r="L19" i="6"/>
  <c r="L21" i="6"/>
  <c r="L20" i="6"/>
  <c r="L18" i="6"/>
  <c r="K19" i="6"/>
  <c r="K21" i="6"/>
  <c r="K20" i="6"/>
  <c r="K18" i="6"/>
  <c r="J19" i="6"/>
  <c r="J21" i="6"/>
  <c r="J18" i="6"/>
  <c r="J20" i="6"/>
  <c r="I21" i="6"/>
  <c r="I19" i="6"/>
  <c r="I18" i="6"/>
  <c r="I20" i="6"/>
  <c r="H19" i="6"/>
  <c r="H21" i="6"/>
  <c r="H20" i="6"/>
  <c r="H18" i="6"/>
  <c r="G21" i="6"/>
  <c r="G19" i="6"/>
  <c r="G20" i="6"/>
  <c r="G18" i="6"/>
  <c r="F19" i="6"/>
  <c r="F21" i="6"/>
  <c r="F18" i="6"/>
  <c r="F20" i="6"/>
  <c r="E21" i="6"/>
  <c r="E19" i="6"/>
  <c r="E20" i="6"/>
  <c r="E18" i="6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2" i="1"/>
  <c r="N14" i="8"/>
  <c r="O14" i="8"/>
  <c r="P14" i="8"/>
  <c r="Q14" i="8"/>
  <c r="R14" i="8"/>
  <c r="S14" i="8"/>
  <c r="T14" i="8"/>
  <c r="U14" i="8"/>
  <c r="V14" i="8"/>
  <c r="W14" i="8"/>
  <c r="X14" i="8"/>
  <c r="Y14" i="8"/>
  <c r="C14" i="8"/>
  <c r="D14" i="8"/>
  <c r="E14" i="8"/>
  <c r="F14" i="8"/>
  <c r="G14" i="8"/>
  <c r="H14" i="8"/>
  <c r="I14" i="8"/>
  <c r="J14" i="8"/>
  <c r="K14" i="8"/>
  <c r="L14" i="8"/>
  <c r="M14" i="8"/>
  <c r="B14" i="8"/>
  <c r="C55" i="5" l="1"/>
  <c r="C87" i="5"/>
  <c r="F87" i="5" s="1"/>
  <c r="S22" i="5" s="1"/>
  <c r="C54" i="5"/>
  <c r="C86" i="5"/>
  <c r="F86" i="5" s="1"/>
  <c r="S21" i="5" s="1"/>
  <c r="C62" i="5"/>
  <c r="C94" i="5"/>
  <c r="F94" i="5" s="1"/>
  <c r="S29" i="5" s="1"/>
  <c r="D30" i="5"/>
  <c r="Q164" i="1"/>
  <c r="Q10" i="6"/>
  <c r="D23" i="5"/>
  <c r="E9" i="5"/>
  <c r="E20" i="5"/>
  <c r="E8" i="5"/>
  <c r="E7" i="5"/>
  <c r="D14" i="5"/>
  <c r="F21" i="18"/>
  <c r="L21" i="18"/>
  <c r="L41" i="18"/>
  <c r="P35" i="18"/>
  <c r="J5" i="18"/>
  <c r="P40" i="18"/>
  <c r="I40" i="18"/>
  <c r="M39" i="18"/>
  <c r="O15" i="18"/>
  <c r="L38" i="18"/>
  <c r="N36" i="18"/>
  <c r="H2" i="18"/>
  <c r="L34" i="18"/>
  <c r="N37" i="18"/>
  <c r="P15" i="18"/>
  <c r="G36" i="18"/>
  <c r="I5" i="18"/>
  <c r="E30" i="5"/>
  <c r="E19" i="5"/>
  <c r="F19" i="18"/>
  <c r="H19" i="18"/>
  <c r="J19" i="18"/>
  <c r="L19" i="18"/>
  <c r="N21" i="18"/>
  <c r="L39" i="18"/>
  <c r="P37" i="18"/>
  <c r="F11" i="18"/>
  <c r="J3" i="18"/>
  <c r="P38" i="18"/>
  <c r="I38" i="18"/>
  <c r="M34" i="18"/>
  <c r="K14" i="18"/>
  <c r="O10" i="18"/>
  <c r="P13" i="18"/>
  <c r="M41" i="18"/>
  <c r="O21" i="18"/>
  <c r="G11" i="18"/>
  <c r="K3" i="18"/>
  <c r="F12" i="18"/>
  <c r="J40" i="18"/>
  <c r="N34" i="18"/>
  <c r="P16" i="18"/>
  <c r="H4" i="18"/>
  <c r="L36" i="18"/>
  <c r="J41" i="18"/>
  <c r="N35" i="18"/>
  <c r="P17" i="18"/>
  <c r="Q12" i="6"/>
  <c r="E12" i="18"/>
  <c r="G34" i="18"/>
  <c r="M16" i="18"/>
  <c r="I2" i="18"/>
  <c r="N10" i="18"/>
  <c r="O41" i="18"/>
  <c r="Q15" i="6"/>
  <c r="E15" i="18"/>
  <c r="I11" i="18"/>
  <c r="M3" i="18"/>
  <c r="E18" i="18"/>
  <c r="N19" i="18"/>
  <c r="I36" i="18"/>
  <c r="K16" i="18"/>
  <c r="O12" i="18"/>
  <c r="P11" i="18"/>
  <c r="M37" i="18"/>
  <c r="G5" i="18"/>
  <c r="J38" i="18"/>
  <c r="P14" i="18"/>
  <c r="J39" i="18"/>
  <c r="E29" i="5"/>
  <c r="E18" i="5"/>
  <c r="E20" i="18"/>
  <c r="G18" i="18"/>
  <c r="I20" i="18"/>
  <c r="K18" i="18"/>
  <c r="M18" i="18"/>
  <c r="O20" i="18"/>
  <c r="P41" i="18"/>
  <c r="F15" i="18"/>
  <c r="J13" i="18"/>
  <c r="N5" i="18"/>
  <c r="F14" i="18"/>
  <c r="M38" i="18"/>
  <c r="M36" i="18"/>
  <c r="O16" i="18"/>
  <c r="G2" i="18"/>
  <c r="Q5" i="6"/>
  <c r="E5" i="18"/>
  <c r="E37" i="18"/>
  <c r="Q37" i="6"/>
  <c r="O19" i="18"/>
  <c r="G13" i="18"/>
  <c r="K5" i="18"/>
  <c r="F10" i="18"/>
  <c r="N38" i="18"/>
  <c r="P20" i="18"/>
  <c r="H10" i="18"/>
  <c r="L2" i="18"/>
  <c r="N2" i="18"/>
  <c r="N39" i="18"/>
  <c r="P21" i="18"/>
  <c r="L3" i="18"/>
  <c r="G40" i="18"/>
  <c r="K36" i="18"/>
  <c r="I4" i="18"/>
  <c r="N12" i="18"/>
  <c r="O39" i="18"/>
  <c r="Q17" i="6"/>
  <c r="E17" i="18"/>
  <c r="I13" i="18"/>
  <c r="M5" i="18"/>
  <c r="K39" i="18"/>
  <c r="E28" i="5"/>
  <c r="E15" i="5"/>
  <c r="G20" i="18"/>
  <c r="I18" i="18"/>
  <c r="K20" i="18"/>
  <c r="M20" i="18"/>
  <c r="O18" i="18"/>
  <c r="P39" i="18"/>
  <c r="F17" i="18"/>
  <c r="J11" i="18"/>
  <c r="N3" i="18"/>
  <c r="F16" i="18"/>
  <c r="M40" i="18"/>
  <c r="Q36" i="6"/>
  <c r="E36" i="18"/>
  <c r="O14" i="18"/>
  <c r="G4" i="18"/>
  <c r="Q39" i="6"/>
  <c r="E39" i="18"/>
  <c r="G17" i="18"/>
  <c r="K11" i="18"/>
  <c r="O3" i="18"/>
  <c r="D22" i="5"/>
  <c r="N40" i="18"/>
  <c r="P18" i="18"/>
  <c r="H12" i="18"/>
  <c r="L4" i="18"/>
  <c r="N4" i="18"/>
  <c r="N41" i="18"/>
  <c r="P19" i="18"/>
  <c r="L5" i="18"/>
  <c r="G38" i="18"/>
  <c r="K34" i="18"/>
  <c r="Q16" i="6"/>
  <c r="E16" i="18"/>
  <c r="M2" i="18"/>
  <c r="G37" i="18"/>
  <c r="M11" i="18"/>
  <c r="H21" i="18"/>
  <c r="F13" i="18"/>
  <c r="O35" i="18"/>
  <c r="E27" i="5"/>
  <c r="E14" i="5"/>
  <c r="E6" i="5"/>
  <c r="E19" i="18"/>
  <c r="G19" i="18"/>
  <c r="I19" i="18"/>
  <c r="K21" i="18"/>
  <c r="M19" i="18"/>
  <c r="H35" i="18"/>
  <c r="J15" i="18"/>
  <c r="N13" i="18"/>
  <c r="H3" i="18"/>
  <c r="J14" i="18"/>
  <c r="Q14" i="6"/>
  <c r="E14" i="18"/>
  <c r="Q38" i="6"/>
  <c r="E38" i="18"/>
  <c r="G12" i="18"/>
  <c r="K2" i="18"/>
  <c r="Q35" i="6"/>
  <c r="E35" i="18"/>
  <c r="G15" i="18"/>
  <c r="K13" i="18"/>
  <c r="O5" i="18"/>
  <c r="F34" i="18"/>
  <c r="H16" i="18"/>
  <c r="L10" i="18"/>
  <c r="P2" i="18"/>
  <c r="F37" i="18"/>
  <c r="H15" i="18"/>
  <c r="H36" i="18"/>
  <c r="K38" i="18"/>
  <c r="O36" i="18"/>
  <c r="I10" i="18"/>
  <c r="M4" i="18"/>
  <c r="Q11" i="6"/>
  <c r="E11" i="18"/>
  <c r="G35" i="18"/>
  <c r="I15" i="18"/>
  <c r="M13" i="18"/>
  <c r="P36" i="18"/>
  <c r="J21" i="18"/>
  <c r="H38" i="18"/>
  <c r="E24" i="5"/>
  <c r="E12" i="5"/>
  <c r="E21" i="18"/>
  <c r="G21" i="18"/>
  <c r="I21" i="18"/>
  <c r="K19" i="18"/>
  <c r="M21" i="18"/>
  <c r="H37" i="18"/>
  <c r="J17" i="18"/>
  <c r="N11" i="18"/>
  <c r="H5" i="18"/>
  <c r="J16" i="18"/>
  <c r="Q40" i="6"/>
  <c r="E40" i="18"/>
  <c r="Q34" i="6"/>
  <c r="E34" i="18"/>
  <c r="G10" i="18"/>
  <c r="K4" i="18"/>
  <c r="J12" i="18"/>
  <c r="E41" i="18"/>
  <c r="Q41" i="6"/>
  <c r="I35" i="18"/>
  <c r="K17" i="18"/>
  <c r="O11" i="18"/>
  <c r="L11" i="18"/>
  <c r="Q4" i="6"/>
  <c r="E4" i="18"/>
  <c r="F36" i="18"/>
  <c r="H14" i="18"/>
  <c r="L12" i="18"/>
  <c r="P4" i="18"/>
  <c r="Q13" i="6"/>
  <c r="E13" i="18"/>
  <c r="F35" i="18"/>
  <c r="H17" i="18"/>
  <c r="H34" i="18"/>
  <c r="K40" i="18"/>
  <c r="O34" i="18"/>
  <c r="I12" i="18"/>
  <c r="G41" i="18"/>
  <c r="K37" i="18"/>
  <c r="I17" i="18"/>
  <c r="Q3" i="6"/>
  <c r="E3" i="18"/>
  <c r="P34" i="18"/>
  <c r="E23" i="5"/>
  <c r="E10" i="5"/>
  <c r="F20" i="18"/>
  <c r="H18" i="18"/>
  <c r="J20" i="18"/>
  <c r="L18" i="18"/>
  <c r="N18" i="18"/>
  <c r="H41" i="18"/>
  <c r="L35" i="18"/>
  <c r="N15" i="18"/>
  <c r="F5" i="18"/>
  <c r="P3" i="18"/>
  <c r="F2" i="18"/>
  <c r="D7" i="5"/>
  <c r="G16" i="18"/>
  <c r="K12" i="18"/>
  <c r="O2" i="18"/>
  <c r="J10" i="18"/>
  <c r="I39" i="18"/>
  <c r="I37" i="18"/>
  <c r="K15" i="18"/>
  <c r="O13" i="18"/>
  <c r="L13" i="18"/>
  <c r="F38" i="18"/>
  <c r="J36" i="18"/>
  <c r="L14" i="18"/>
  <c r="P10" i="18"/>
  <c r="H11" i="18"/>
  <c r="F39" i="18"/>
  <c r="J37" i="18"/>
  <c r="L15" i="18"/>
  <c r="N14" i="18"/>
  <c r="O38" i="18"/>
  <c r="I14" i="18"/>
  <c r="M10" i="18"/>
  <c r="Q2" i="6"/>
  <c r="E2" i="18"/>
  <c r="G39" i="18"/>
  <c r="K35" i="18"/>
  <c r="M15" i="18"/>
  <c r="J2" i="18"/>
  <c r="M14" i="18"/>
  <c r="E22" i="5"/>
  <c r="F18" i="18"/>
  <c r="H20" i="18"/>
  <c r="J18" i="18"/>
  <c r="L20" i="18"/>
  <c r="N20" i="18"/>
  <c r="H39" i="18"/>
  <c r="L37" i="18"/>
  <c r="N17" i="18"/>
  <c r="F3" i="18"/>
  <c r="P5" i="18"/>
  <c r="F4" i="18"/>
  <c r="C7" i="5"/>
  <c r="I34" i="18"/>
  <c r="G14" i="18"/>
  <c r="K10" i="18"/>
  <c r="O4" i="18"/>
  <c r="I41" i="18"/>
  <c r="M35" i="18"/>
  <c r="O17" i="18"/>
  <c r="G3" i="18"/>
  <c r="L40" i="18"/>
  <c r="F40" i="18"/>
  <c r="J34" i="18"/>
  <c r="L16" i="18"/>
  <c r="P12" i="18"/>
  <c r="H13" i="18"/>
  <c r="F41" i="18"/>
  <c r="J35" i="18"/>
  <c r="L17" i="18"/>
  <c r="N16" i="18"/>
  <c r="O40" i="18"/>
  <c r="I16" i="18"/>
  <c r="M12" i="18"/>
  <c r="H40" i="18"/>
  <c r="K41" i="18"/>
  <c r="O37" i="18"/>
  <c r="M17" i="18"/>
  <c r="I3" i="18"/>
  <c r="J4" i="18"/>
  <c r="Q20" i="6"/>
  <c r="Q19" i="6"/>
  <c r="Q18" i="6"/>
  <c r="Q21" i="6"/>
  <c r="Q46" i="6" l="1"/>
  <c r="E32" i="5"/>
  <c r="E50" i="5"/>
  <c r="C144" i="5"/>
  <c r="F144" i="5" s="1"/>
  <c r="V17" i="5" s="1"/>
  <c r="X17" i="5" s="1"/>
  <c r="E55" i="5"/>
  <c r="C149" i="5"/>
  <c r="F149" i="5" s="1"/>
  <c r="V22" i="5" s="1"/>
  <c r="X22" i="5" s="1"/>
  <c r="E44" i="5"/>
  <c r="C138" i="5"/>
  <c r="F138" i="5" s="1"/>
  <c r="V11" i="5" s="1"/>
  <c r="X11" i="5" s="1"/>
  <c r="E59" i="5"/>
  <c r="C153" i="5"/>
  <c r="F153" i="5" s="1"/>
  <c r="V26" i="5" s="1"/>
  <c r="X26" i="5" s="1"/>
  <c r="E47" i="5"/>
  <c r="C141" i="5"/>
  <c r="F141" i="5" s="1"/>
  <c r="V14" i="5" s="1"/>
  <c r="X14" i="5" s="1"/>
  <c r="E61" i="5"/>
  <c r="C155" i="5"/>
  <c r="F155" i="5" s="1"/>
  <c r="V28" i="5" s="1"/>
  <c r="X28" i="5" s="1"/>
  <c r="E62" i="5"/>
  <c r="C156" i="5"/>
  <c r="F156" i="5" s="1"/>
  <c r="V29" i="5" s="1"/>
  <c r="X29" i="5" s="1"/>
  <c r="E40" i="5"/>
  <c r="C134" i="5"/>
  <c r="F134" i="5" s="1"/>
  <c r="V7" i="5" s="1"/>
  <c r="X7" i="5" s="1"/>
  <c r="E39" i="5"/>
  <c r="C133" i="5"/>
  <c r="F133" i="5" s="1"/>
  <c r="V6" i="5" s="1"/>
  <c r="X6" i="5" s="1"/>
  <c r="E46" i="5"/>
  <c r="C140" i="5"/>
  <c r="F140" i="5" s="1"/>
  <c r="V13" i="5" s="1"/>
  <c r="X13" i="5" s="1"/>
  <c r="E54" i="5"/>
  <c r="C148" i="5"/>
  <c r="F148" i="5" s="1"/>
  <c r="V21" i="5" s="1"/>
  <c r="X21" i="5" s="1"/>
  <c r="E38" i="5"/>
  <c r="C132" i="5"/>
  <c r="E41" i="5"/>
  <c r="C135" i="5"/>
  <c r="F135" i="5" s="1"/>
  <c r="V8" i="5" s="1"/>
  <c r="X8" i="5" s="1"/>
  <c r="E42" i="5"/>
  <c r="C136" i="5"/>
  <c r="F136" i="5" s="1"/>
  <c r="V9" i="5" s="1"/>
  <c r="X9" i="5" s="1"/>
  <c r="E51" i="5"/>
  <c r="C145" i="5"/>
  <c r="F145" i="5" s="1"/>
  <c r="V18" i="5" s="1"/>
  <c r="X18" i="5" s="1"/>
  <c r="E56" i="5"/>
  <c r="C150" i="5"/>
  <c r="F150" i="5" s="1"/>
  <c r="V23" i="5" s="1"/>
  <c r="X23" i="5" s="1"/>
  <c r="E60" i="5"/>
  <c r="C154" i="5"/>
  <c r="F154" i="5" s="1"/>
  <c r="V27" i="5" s="1"/>
  <c r="X27" i="5" s="1"/>
  <c r="E52" i="5"/>
  <c r="C146" i="5"/>
  <c r="F146" i="5" s="1"/>
  <c r="V19" i="5" s="1"/>
  <c r="X19" i="5" s="1"/>
  <c r="D39" i="5"/>
  <c r="C102" i="5"/>
  <c r="F102" i="5" s="1"/>
  <c r="T6" i="5" s="1"/>
  <c r="D54" i="5"/>
  <c r="C117" i="5"/>
  <c r="F117" i="5" s="1"/>
  <c r="T21" i="5" s="1"/>
  <c r="U21" i="5" s="1"/>
  <c r="D55" i="5"/>
  <c r="C118" i="5"/>
  <c r="F118" i="5" s="1"/>
  <c r="T22" i="5" s="1"/>
  <c r="U22" i="5" s="1"/>
  <c r="C39" i="5"/>
  <c r="C71" i="5"/>
  <c r="F71" i="5" s="1"/>
  <c r="S6" i="5" s="1"/>
  <c r="D46" i="5"/>
  <c r="C109" i="5"/>
  <c r="F109" i="5" s="1"/>
  <c r="T13" i="5" s="1"/>
  <c r="U13" i="5" s="1"/>
  <c r="D62" i="5"/>
  <c r="C125" i="5"/>
  <c r="F125" i="5" s="1"/>
  <c r="T29" i="5" s="1"/>
  <c r="U29" i="5" s="1"/>
  <c r="C24" i="5"/>
  <c r="Q10" i="18"/>
  <c r="C9" i="5"/>
  <c r="Q20" i="18"/>
  <c r="Q41" i="18"/>
  <c r="Q34" i="18"/>
  <c r="Q15" i="18"/>
  <c r="Q2" i="18"/>
  <c r="Q13" i="18"/>
  <c r="Q21" i="18"/>
  <c r="C6" i="5"/>
  <c r="C70" i="5" s="1"/>
  <c r="Q35" i="18"/>
  <c r="Q38" i="18"/>
  <c r="Q19" i="18"/>
  <c r="Q18" i="18"/>
  <c r="E64" i="5"/>
  <c r="Q40" i="18"/>
  <c r="Q11" i="18"/>
  <c r="C29" i="5"/>
  <c r="Q39" i="18"/>
  <c r="Q36" i="18"/>
  <c r="Q3" i="18"/>
  <c r="Q4" i="18"/>
  <c r="Q37" i="18"/>
  <c r="Q14" i="18"/>
  <c r="Q16" i="18"/>
  <c r="Q12" i="18"/>
  <c r="C12" i="5"/>
  <c r="C10" i="5"/>
  <c r="Q17" i="18"/>
  <c r="Q5" i="18"/>
  <c r="Q46" i="18" l="1"/>
  <c r="U6" i="5"/>
  <c r="F132" i="5"/>
  <c r="C158" i="5"/>
  <c r="C56" i="5"/>
  <c r="C88" i="5"/>
  <c r="F88" i="5" s="1"/>
  <c r="S23" i="5" s="1"/>
  <c r="C42" i="5"/>
  <c r="C74" i="5"/>
  <c r="F74" i="5" s="1"/>
  <c r="S9" i="5" s="1"/>
  <c r="C44" i="5"/>
  <c r="C76" i="5"/>
  <c r="F76" i="5" s="1"/>
  <c r="S11" i="5" s="1"/>
  <c r="C61" i="5"/>
  <c r="C93" i="5"/>
  <c r="F93" i="5" s="1"/>
  <c r="S28" i="5" s="1"/>
  <c r="F70" i="5"/>
  <c r="S5" i="5" s="1"/>
  <c r="C41" i="5"/>
  <c r="C73" i="5"/>
  <c r="F73" i="5" s="1"/>
  <c r="S8" i="5" s="1"/>
  <c r="D9" i="5"/>
  <c r="D24" i="5"/>
  <c r="D29" i="5"/>
  <c r="D10" i="5"/>
  <c r="D12" i="5"/>
  <c r="C38" i="5"/>
  <c r="C32" i="5"/>
  <c r="D6" i="5"/>
  <c r="C101" i="5" s="1"/>
  <c r="F158" i="5" l="1"/>
  <c r="V5" i="5"/>
  <c r="S31" i="5"/>
  <c r="F101" i="5"/>
  <c r="T5" i="5" s="1"/>
  <c r="F96" i="5"/>
  <c r="D44" i="5"/>
  <c r="C107" i="5"/>
  <c r="F107" i="5" s="1"/>
  <c r="T11" i="5" s="1"/>
  <c r="U11" i="5" s="1"/>
  <c r="D41" i="5"/>
  <c r="C104" i="5"/>
  <c r="F104" i="5" s="1"/>
  <c r="T8" i="5" s="1"/>
  <c r="U8" i="5" s="1"/>
  <c r="D56" i="5"/>
  <c r="C119" i="5"/>
  <c r="F119" i="5" s="1"/>
  <c r="T23" i="5" s="1"/>
  <c r="U23" i="5" s="1"/>
  <c r="D42" i="5"/>
  <c r="C105" i="5"/>
  <c r="F105" i="5" s="1"/>
  <c r="T9" i="5" s="1"/>
  <c r="U9" i="5" s="1"/>
  <c r="D61" i="5"/>
  <c r="C124" i="5"/>
  <c r="F124" i="5" s="1"/>
  <c r="T28" i="5" s="1"/>
  <c r="U28" i="5" s="1"/>
  <c r="C96" i="5"/>
  <c r="C64" i="5"/>
  <c r="D38" i="5"/>
  <c r="D32" i="5"/>
  <c r="X5" i="5" l="1"/>
  <c r="V31" i="5"/>
  <c r="U5" i="5"/>
  <c r="T31" i="5"/>
  <c r="F127" i="5"/>
  <c r="C127" i="5"/>
  <c r="D64" i="5"/>
</calcChain>
</file>

<file path=xl/sharedStrings.xml><?xml version="1.0" encoding="utf-8"?>
<sst xmlns="http://schemas.openxmlformats.org/spreadsheetml/2006/main" count="3110" uniqueCount="274">
  <si>
    <t>confrontantes</t>
  </si>
  <si>
    <t>instalação</t>
  </si>
  <si>
    <t>&gt;5%</t>
  </si>
  <si>
    <t>MAR</t>
  </si>
  <si>
    <t>AL</t>
  </si>
  <si>
    <t>TERRA</t>
  </si>
  <si>
    <t>produtor</t>
  </si>
  <si>
    <t>Ajustes</t>
  </si>
  <si>
    <t>AM</t>
  </si>
  <si>
    <t>AP</t>
  </si>
  <si>
    <t>BA</t>
  </si>
  <si>
    <t>CE</t>
  </si>
  <si>
    <t>ES</t>
  </si>
  <si>
    <t>MA</t>
  </si>
  <si>
    <t>MG</t>
  </si>
  <si>
    <t>PA</t>
  </si>
  <si>
    <t>PB</t>
  </si>
  <si>
    <t>PE</t>
  </si>
  <si>
    <t>PR</t>
  </si>
  <si>
    <t>RJ</t>
  </si>
  <si>
    <t>RS</t>
  </si>
  <si>
    <t>SC</t>
  </si>
  <si>
    <t>SP</t>
  </si>
  <si>
    <t>Instalação</t>
  </si>
  <si>
    <t>RN</t>
  </si>
  <si>
    <t>SE</t>
  </si>
  <si>
    <t>ESTADO</t>
  </si>
  <si>
    <t>MUNICÍPIOS</t>
  </si>
  <si>
    <t>TOTAL</t>
  </si>
  <si>
    <t>ROYALTIES</t>
  </si>
  <si>
    <t>PARU</t>
  </si>
  <si>
    <t>CANDEIAS</t>
  </si>
  <si>
    <t>ITAPARICA</t>
  </si>
  <si>
    <t>MANATI</t>
  </si>
  <si>
    <t>ATUM</t>
  </si>
  <si>
    <t>ESPADA</t>
  </si>
  <si>
    <t>ABALONE</t>
  </si>
  <si>
    <t>ARGONAUTA</t>
  </si>
  <si>
    <t>BALEIA ANÃ</t>
  </si>
  <si>
    <t>BALEIA AZUL</t>
  </si>
  <si>
    <t>BALEIA FRANCA</t>
  </si>
  <si>
    <t>CACHALOTE</t>
  </si>
  <si>
    <t>CAMARUPIM</t>
  </si>
  <si>
    <t>CAMARUPIM NORTE</t>
  </si>
  <si>
    <t>CANAPU</t>
  </si>
  <si>
    <t>CANGOA</t>
  </si>
  <si>
    <t>FRADE</t>
  </si>
  <si>
    <t>GOLFINHO</t>
  </si>
  <si>
    <t>JUBARTE</t>
  </si>
  <si>
    <t>OSTRA</t>
  </si>
  <si>
    <t>PEROA</t>
  </si>
  <si>
    <t>PIRAMBU</t>
  </si>
  <si>
    <t>RONCADOR</t>
  </si>
  <si>
    <t>AGULHA</t>
  </si>
  <si>
    <t>ARABAIANA</t>
  </si>
  <si>
    <t>ARATUM</t>
  </si>
  <si>
    <t>BIQUARA</t>
  </si>
  <si>
    <t>CIOBA</t>
  </si>
  <si>
    <t>DENTAO</t>
  </si>
  <si>
    <t>OESTE DE UBARANA</t>
  </si>
  <si>
    <t>PESCADA</t>
  </si>
  <si>
    <t>SERRA</t>
  </si>
  <si>
    <t>UBARANA</t>
  </si>
  <si>
    <t>CAIOBA</t>
  </si>
  <si>
    <t>CAMORIM</t>
  </si>
  <si>
    <t>DOURADO</t>
  </si>
  <si>
    <t>GUARICEMA</t>
  </si>
  <si>
    <t>PIRANEMA</t>
  </si>
  <si>
    <t>SALGO</t>
  </si>
  <si>
    <t>TARTARUGA</t>
  </si>
  <si>
    <t>TATUI</t>
  </si>
  <si>
    <t>DOM JOAO MAR</t>
  </si>
  <si>
    <t>CARAUNA</t>
  </si>
  <si>
    <t>CURIMA</t>
  </si>
  <si>
    <t>XAREU</t>
  </si>
  <si>
    <t>CACAO</t>
  </si>
  <si>
    <t>ESTADOS</t>
  </si>
  <si>
    <t>Royalties até 5%</t>
  </si>
  <si>
    <t>Royalties excedentes a 5%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</si>
  <si>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</si>
  <si>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</si>
  <si>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</si>
  <si>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</si>
  <si>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</si>
  <si>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</si>
  <si>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</si>
  <si>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</si>
  <si>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</si>
  <si>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</si>
  <si>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</si>
  <si>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AC</t>
  </si>
  <si>
    <t>Acre</t>
  </si>
  <si>
    <t>Alagoas</t>
  </si>
  <si>
    <t>Amazonas</t>
  </si>
  <si>
    <t>Amapá</t>
  </si>
  <si>
    <t>Bahia</t>
  </si>
  <si>
    <t>Ceará</t>
  </si>
  <si>
    <t>DF</t>
  </si>
  <si>
    <t>Distrito Federal</t>
  </si>
  <si>
    <t>Espírito Santo</t>
  </si>
  <si>
    <t>GO</t>
  </si>
  <si>
    <t>Goiás</t>
  </si>
  <si>
    <t>Maranhão</t>
  </si>
  <si>
    <t>Minas Gerais</t>
  </si>
  <si>
    <t>MS</t>
  </si>
  <si>
    <t>Mato Grosso do Sul</t>
  </si>
  <si>
    <t>MT</t>
  </si>
  <si>
    <t>Mato Grosso</t>
  </si>
  <si>
    <t>Pará</t>
  </si>
  <si>
    <t>Paraíba</t>
  </si>
  <si>
    <t>Pernambuco</t>
  </si>
  <si>
    <t>PI</t>
  </si>
  <si>
    <t>Piauí</t>
  </si>
  <si>
    <t>Paraná</t>
  </si>
  <si>
    <t>Rio de Janeiro</t>
  </si>
  <si>
    <t>Rio Grande do Norte</t>
  </si>
  <si>
    <t>RO</t>
  </si>
  <si>
    <t>Rondônia</t>
  </si>
  <si>
    <t>RR</t>
  </si>
  <si>
    <t>Roraima</t>
  </si>
  <si>
    <t>Rio Grande do Sul</t>
  </si>
  <si>
    <t>Santa Catarina</t>
  </si>
  <si>
    <t>Sergipe</t>
  </si>
  <si>
    <t>São Paulo</t>
  </si>
  <si>
    <t>TO</t>
  </si>
  <si>
    <t>Tocantins</t>
  </si>
  <si>
    <t>FPE</t>
  </si>
  <si>
    <t>FPM</t>
  </si>
  <si>
    <t>%</t>
  </si>
  <si>
    <t>R$</t>
  </si>
  <si>
    <t>Capital (10%)</t>
  </si>
  <si>
    <t>Fundo de Reserva (3,6%)</t>
  </si>
  <si>
    <t>Interior (86,4%)</t>
  </si>
  <si>
    <t>ANO BASE: 2018</t>
  </si>
  <si>
    <t>FUNDO ESPECIAL</t>
  </si>
  <si>
    <t>CAPITAL</t>
  </si>
  <si>
    <t>RESERVA</t>
  </si>
  <si>
    <t>INTERIOR</t>
  </si>
  <si>
    <t>PARTICIPAÇÕES GOVERNAMENTAIS: Relatório consolidado da ANP</t>
  </si>
  <si>
    <t>FPE + FPM</t>
  </si>
  <si>
    <t>VALORES DO FUNDO PELA 9478 - ANO 2018</t>
  </si>
  <si>
    <t>VALORES DE ROYALTIES PELA 9478 - ANO 2018</t>
  </si>
  <si>
    <t>VALORES DO FUNDO PELA 12734 - ANO 2018</t>
  </si>
  <si>
    <t>LEI 9478 - ANO  2018</t>
  </si>
  <si>
    <t>LEI 9478</t>
  </si>
  <si>
    <t>PARTICIPAÇÃO ESPECIAL</t>
  </si>
  <si>
    <t>% ORIGINAL</t>
  </si>
  <si>
    <t>VALORES DE ROYALTIES</t>
  </si>
  <si>
    <t>TOTAL PE</t>
  </si>
  <si>
    <t>VALORES DE PE</t>
  </si>
  <si>
    <t>SOMATÓRIO DO FPM</t>
  </si>
  <si>
    <t>FUNDO DE RESERVA</t>
  </si>
  <si>
    <t>UF</t>
  </si>
  <si>
    <t>REDAÇÃO (LEI 9.478/97)</t>
  </si>
  <si>
    <t>REDAÇÃO LEI 12.734/2012</t>
  </si>
  <si>
    <t>4 TRIM/2017</t>
  </si>
  <si>
    <t>1 TRIM/2018</t>
  </si>
  <si>
    <t>2 TRIM/2018</t>
  </si>
  <si>
    <t>3 TRIM/2018</t>
  </si>
  <si>
    <t>ACORDO PARQUE DAS BALEIAS - DIFERENÇAS</t>
  </si>
  <si>
    <t>PERÍODO</t>
  </si>
  <si>
    <t>SOMATÓRIO DO FPE (20%)</t>
  </si>
  <si>
    <t>CÁLCULO DO FPE</t>
  </si>
  <si>
    <t>UNIDADE FEDERADA</t>
  </si>
  <si>
    <t>FPM -  20%</t>
  </si>
  <si>
    <t>REDAÇÃO ACORDO</t>
  </si>
  <si>
    <t>ACORDO</t>
  </si>
  <si>
    <t>BENEFICIÁRIO</t>
  </si>
  <si>
    <t>Redação Original          Lei 9478/1997</t>
  </si>
  <si>
    <t>Redação Inicial         Lei 12734/2012</t>
  </si>
  <si>
    <t>Redação Alterada         Lei 12734/2012</t>
  </si>
  <si>
    <t xml:space="preserve">Estados confrontantes </t>
  </si>
  <si>
    <t>Municípios confrontantes e áreas geoeconômicas</t>
  </si>
  <si>
    <t>Municípios com Instalação de embarque e desembarque</t>
  </si>
  <si>
    <t>-</t>
  </si>
  <si>
    <t>Municípios afetados por operações de embarque e desembarque</t>
  </si>
  <si>
    <t>Comando da Marinha</t>
  </si>
  <si>
    <t>Fundo Especial (Estados + Municípios)</t>
  </si>
  <si>
    <t>Ministério de Ciência e Tecnologia</t>
  </si>
  <si>
    <t>Fundo Especial (Estados e DF)</t>
  </si>
  <si>
    <t>Fundo Especial (Municipios)</t>
  </si>
  <si>
    <t>União (Fundo Social)</t>
  </si>
  <si>
    <t>Somatório</t>
  </si>
  <si>
    <t>PARTICIPAÇÃO ESPECIAL CONCESSÃO</t>
  </si>
  <si>
    <t>BENEFICIÁRIOS</t>
  </si>
  <si>
    <t>Redação Original</t>
  </si>
  <si>
    <t>União</t>
  </si>
  <si>
    <t>Estado Produtor/Confrontante</t>
  </si>
  <si>
    <t>Município Produtor/Confrontante</t>
  </si>
  <si>
    <t>Fundo Especial (Municípios)</t>
  </si>
  <si>
    <t>ROYALTIES PARTILHA - PRODUÇÃO OFFSHORE</t>
  </si>
  <si>
    <t>Estados confrontantes</t>
  </si>
  <si>
    <t>Municípios confrontantes</t>
  </si>
  <si>
    <t>Municípios com instalação de embarque e desembarque</t>
  </si>
  <si>
    <t>Municípios afetados por instalação de embarque e desembarque</t>
  </si>
  <si>
    <t>Educação</t>
  </si>
  <si>
    <t>Saúde</t>
  </si>
  <si>
    <t>PARTILHA</t>
  </si>
  <si>
    <t>CONCESSÃO</t>
  </si>
  <si>
    <t>TOTAL 2018</t>
  </si>
  <si>
    <t>FPM TOTAL</t>
  </si>
  <si>
    <t>% DE PRODUÇÃO</t>
  </si>
  <si>
    <t>GANHO/PERDA (%)</t>
  </si>
  <si>
    <t xml:space="preserve">COLUNA B </t>
  </si>
  <si>
    <t xml:space="preserve">ESTADOS </t>
  </si>
  <si>
    <t>ACORDO - ANO  2018</t>
  </si>
  <si>
    <t>AMBIENTE</t>
  </si>
  <si>
    <t>SITUAÇÃO</t>
  </si>
  <si>
    <t>Confrontantes</t>
  </si>
  <si>
    <t>Produtor</t>
  </si>
  <si>
    <t>CAMPOS</t>
  </si>
  <si>
    <t>LEI 9478/1997</t>
  </si>
  <si>
    <t>FUNDO ESPECIAL MUNICÍPIOS (FPM)</t>
  </si>
  <si>
    <t>FUNDO ESPECIAL ESTADOS (FPE)</t>
  </si>
  <si>
    <t>TOTAIS</t>
  </si>
  <si>
    <t>FUNDO ESPECIAL (FPE E FPM)</t>
  </si>
  <si>
    <t>FPM (Capital)</t>
  </si>
  <si>
    <t>FPM (Reserva)</t>
  </si>
  <si>
    <t>FPM (Interior)</t>
  </si>
  <si>
    <t>FPE (%)</t>
  </si>
  <si>
    <t>TOTAL FPE</t>
  </si>
  <si>
    <t>CRITÉRIO</t>
  </si>
  <si>
    <t>FPM - LEI 9478/1997</t>
  </si>
  <si>
    <t>FPM - ACORDO</t>
  </si>
  <si>
    <t>ESTADO - LEI 9478/1997</t>
  </si>
  <si>
    <t>ESTADO - ACORDO</t>
  </si>
  <si>
    <t>MUNICÍPIOS - LEI 9478/1997</t>
  </si>
  <si>
    <t>MUNICÍPIOS - ACORDO</t>
  </si>
  <si>
    <t>FUNDO (FPE)</t>
  </si>
  <si>
    <t>FUNDO (FPM)</t>
  </si>
  <si>
    <t>Bônus de assinatura arrecadado (milhões de R$) - CONCESSÃO</t>
  </si>
  <si>
    <t>Rodada 1</t>
  </si>
  <si>
    <t>Rodada 2</t>
  </si>
  <si>
    <t>Rodada 3</t>
  </si>
  <si>
    <t>Rodada 4</t>
  </si>
  <si>
    <t>Rodada 5</t>
  </si>
  <si>
    <t>Rodada 6</t>
  </si>
  <si>
    <t>Rodada 7</t>
  </si>
  <si>
    <t>Rodada 9</t>
  </si>
  <si>
    <t>Rodada 10</t>
  </si>
  <si>
    <t>Rodada 11</t>
  </si>
  <si>
    <t>Rodada 12</t>
  </si>
  <si>
    <t>Rodada 13</t>
  </si>
  <si>
    <t xml:space="preserve">Rodada 14 </t>
  </si>
  <si>
    <t>Rodada 15</t>
  </si>
  <si>
    <t>Rodada 16</t>
  </si>
  <si>
    <t>Bônus de assinatura arrecadado (milhões de R$) - PARTILHA</t>
  </si>
  <si>
    <t>Partilha 1</t>
  </si>
  <si>
    <t>Partilha 2</t>
  </si>
  <si>
    <t>Partilha 3</t>
  </si>
  <si>
    <t>Partilha 4</t>
  </si>
  <si>
    <t>Partilha 5</t>
  </si>
  <si>
    <t>Partilha 6</t>
  </si>
  <si>
    <t>Excedente da Cessão Onerosa</t>
  </si>
  <si>
    <t>ANO</t>
  </si>
  <si>
    <t>EXCEDENTE CESSÃO ONEROSA</t>
  </si>
  <si>
    <t>MÉDIA ANUAL</t>
  </si>
  <si>
    <t>CENÁRIO CONSERVADOR</t>
  </si>
  <si>
    <t>CENÁRIO OTIMISTA</t>
  </si>
  <si>
    <t>FPE 2021</t>
  </si>
  <si>
    <t>FPM CAPITAL 2020</t>
  </si>
  <si>
    <t>FPM FUNDO DE RESERVA 2020</t>
  </si>
  <si>
    <t>FPM INTERIOR 2020</t>
  </si>
  <si>
    <t>MUNICIPIOS</t>
  </si>
  <si>
    <t>UNIDADE FEDERATIVA</t>
  </si>
  <si>
    <t>Fonte: https://www.gov.br/anp/pt-br/assuntos/royalties-e-outras-participacoes/royalties</t>
  </si>
  <si>
    <t>Fonte: http://www.anp.gov.br/consultas-audiencias-publicas/concluidas/4993-consulta-audiencia-publicas-34-2018</t>
  </si>
  <si>
    <t>Fonte: https://www.gov.br/anp/pt-br/assuntos/royalties-e-outras-participacoes/participacao-especial</t>
  </si>
  <si>
    <t>INDICES FPE/FPM: https://portal.tcu.gov.br/transferencias-constitucionais-e-legais/coeficientes-fpe-e-fpm/</t>
  </si>
  <si>
    <t>https://www.gov.br/anp/pt-br/centrais-de-conteudo/dados-abertos/anuario-estatistico-2020-dados-abertos</t>
  </si>
  <si>
    <t>Fonte: Seção 5 do Anuário Estatístico da ANP 2020</t>
  </si>
  <si>
    <t>Royalties pagos pelos campos offshore</t>
  </si>
  <si>
    <t>Royalties offshore distribuídos aos Estados</t>
  </si>
  <si>
    <t>ROYALTIES CONCESSÃO/CESSÃO ONEROSA - PRODUÇÃO OFFSHORE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</si>
</sst>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00000%"/>
    <numFmt numFmtId="166" formatCode="_-&quot;R$&quot;\ * #,##0.00_-;\-&quot;R$&quot;\ * #,##0.00_-;_-&quot;R$&quot;\ * &quot;-&quot;??????_-;_-@_-"/>
    <numFmt numFmtId="167" formatCode="0.0000%"/>
    <numFmt numFmtId="169" formatCode="0.0%"/>
    <numFmt numFmtId="170" formatCode="0.00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rgb="FF000000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color theme="5" tint="-0.249977111117893"/>
      <name val="Verdana"/>
      <family val="2"/>
    </font>
    <font>
      <b/>
      <sz val="8"/>
      <name val="Verdana"/>
      <family val="2"/>
    </font>
    <font>
      <b/>
      <sz val="8"/>
      <color theme="5" tint="-0.249977111117893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/>
      <diagonal/>
    </border>
    <border>
      <left/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57">
    <xf numFmtId="0" fontId="0" fillId="0" borderId="0" xfId="0"/>
    <xf numFmtId="0" fontId="3" fillId="5" borderId="27" xfId="0" applyFont="1" applyFill="1" applyBorder="1" applyAlignment="1">
      <alignment horizontal="left"/>
    </xf>
    <xf numFmtId="169" fontId="3" fillId="5" borderId="28" xfId="0" applyNumberFormat="1" applyFont="1" applyFill="1" applyBorder="1"/>
    <xf numFmtId="0" fontId="0" fillId="5" borderId="0" xfId="0" applyFill="1"/>
    <xf numFmtId="9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5" borderId="19" xfId="0" applyFont="1" applyFill="1" applyBorder="1"/>
    <xf numFmtId="169" fontId="4" fillId="5" borderId="12" xfId="3" applyNumberFormat="1" applyFont="1" applyFill="1" applyBorder="1" applyAlignment="1">
      <alignment horizontal="center"/>
    </xf>
    <xf numFmtId="169" fontId="4" fillId="5" borderId="22" xfId="3" applyNumberFormat="1" applyFont="1" applyFill="1" applyBorder="1" applyAlignment="1">
      <alignment horizontal="center"/>
    </xf>
    <xf numFmtId="0" fontId="4" fillId="5" borderId="3" xfId="0" applyFont="1" applyFill="1" applyBorder="1"/>
    <xf numFmtId="0" fontId="3" fillId="5" borderId="32" xfId="0" applyFont="1" applyFill="1" applyBorder="1" applyAlignment="1">
      <alignment horizontal="left"/>
    </xf>
    <xf numFmtId="0" fontId="4" fillId="5" borderId="17" xfId="0" applyFont="1" applyFill="1" applyBorder="1"/>
    <xf numFmtId="169" fontId="3" fillId="5" borderId="28" xfId="0" applyNumberFormat="1" applyFont="1" applyFill="1" applyBorder="1" applyAlignment="1">
      <alignment horizontal="center"/>
    </xf>
    <xf numFmtId="169" fontId="3" fillId="5" borderId="33" xfId="0" applyNumberFormat="1" applyFont="1" applyFill="1" applyBorder="1" applyAlignment="1">
      <alignment horizontal="center"/>
    </xf>
    <xf numFmtId="0" fontId="0" fillId="5" borderId="0" xfId="0" applyFill="1" applyBorder="1"/>
    <xf numFmtId="0" fontId="0" fillId="0" borderId="0" xfId="0"/>
    <xf numFmtId="0" fontId="5" fillId="0" borderId="1" xfId="4" applyFont="1" applyBorder="1" applyAlignment="1">
      <alignment horizontal="left" vertical="center"/>
    </xf>
    <xf numFmtId="44" fontId="6" fillId="0" borderId="1" xfId="0" applyNumberFormat="1" applyFont="1" applyBorder="1"/>
    <xf numFmtId="0" fontId="7" fillId="4" borderId="1" xfId="4" applyFont="1" applyFill="1" applyBorder="1" applyAlignment="1">
      <alignment horizontal="left" vertical="center"/>
    </xf>
    <xf numFmtId="44" fontId="8" fillId="4" borderId="1" xfId="0" applyNumberFormat="1" applyFont="1" applyFill="1" applyBorder="1"/>
    <xf numFmtId="0" fontId="10" fillId="0" borderId="1" xfId="4" applyFont="1" applyBorder="1" applyAlignment="1">
      <alignment horizontal="left" vertical="center"/>
    </xf>
    <xf numFmtId="44" fontId="11" fillId="0" borderId="1" xfId="0" applyNumberFormat="1" applyFont="1" applyBorder="1"/>
    <xf numFmtId="44" fontId="9" fillId="4" borderId="1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12" fillId="0" borderId="11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4" xfId="4" applyFont="1" applyBorder="1" applyAlignment="1">
      <alignment horizontal="left" vertical="center"/>
    </xf>
    <xf numFmtId="44" fontId="13" fillId="0" borderId="1" xfId="2" applyFont="1" applyBorder="1" applyAlignment="1">
      <alignment horizontal="right" vertical="center"/>
    </xf>
    <xf numFmtId="44" fontId="11" fillId="0" borderId="1" xfId="2" applyFont="1" applyBorder="1" applyAlignment="1">
      <alignment horizontal="right" vertical="center"/>
    </xf>
    <xf numFmtId="0" fontId="12" fillId="2" borderId="1" xfId="4" applyFont="1" applyFill="1" applyBorder="1" applyAlignment="1">
      <alignment horizontal="left" vertical="center"/>
    </xf>
    <xf numFmtId="44" fontId="14" fillId="2" borderId="1" xfId="2" applyFont="1" applyFill="1" applyBorder="1" applyAlignment="1">
      <alignment horizontal="right" vertical="center"/>
    </xf>
    <xf numFmtId="43" fontId="11" fillId="0" borderId="0" xfId="1" applyFont="1"/>
    <xf numFmtId="44" fontId="11" fillId="0" borderId="0" xfId="0" applyNumberFormat="1" applyFont="1"/>
    <xf numFmtId="10" fontId="11" fillId="0" borderId="0" xfId="3" applyNumberFormat="1" applyFont="1"/>
    <xf numFmtId="9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/>
    <xf numFmtId="44" fontId="13" fillId="0" borderId="1" xfId="2" applyFont="1" applyFill="1" applyBorder="1" applyAlignment="1">
      <alignment horizontal="right"/>
    </xf>
    <xf numFmtId="44" fontId="13" fillId="5" borderId="1" xfId="2" applyFont="1" applyFill="1" applyBorder="1" applyAlignment="1">
      <alignment horizontal="right"/>
    </xf>
    <xf numFmtId="44" fontId="13" fillId="3" borderId="1" xfId="2" applyFont="1" applyFill="1" applyBorder="1" applyAlignment="1">
      <alignment horizontal="right"/>
    </xf>
    <xf numFmtId="44" fontId="14" fillId="3" borderId="1" xfId="2" applyFont="1" applyFill="1" applyBorder="1" applyAlignment="1">
      <alignment horizontal="right"/>
    </xf>
    <xf numFmtId="44" fontId="14" fillId="3" borderId="20" xfId="2" applyFont="1" applyFill="1" applyBorder="1" applyAlignment="1">
      <alignment horizontal="right"/>
    </xf>
    <xf numFmtId="0" fontId="9" fillId="5" borderId="37" xfId="0" applyFont="1" applyFill="1" applyBorder="1" applyAlignment="1"/>
    <xf numFmtId="9" fontId="9" fillId="2" borderId="1" xfId="3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5" borderId="37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44" fontId="11" fillId="5" borderId="37" xfId="0" applyNumberFormat="1" applyFont="1" applyFill="1" applyBorder="1"/>
    <xf numFmtId="0" fontId="11" fillId="0" borderId="0" xfId="0" applyFont="1" applyFill="1"/>
    <xf numFmtId="0" fontId="11" fillId="0" borderId="36" xfId="0" applyFont="1" applyBorder="1"/>
    <xf numFmtId="0" fontId="13" fillId="5" borderId="36" xfId="0" applyFont="1" applyFill="1" applyBorder="1"/>
    <xf numFmtId="0" fontId="13" fillId="5" borderId="36" xfId="0" applyFont="1" applyFill="1" applyBorder="1" applyAlignment="1">
      <alignment horizontal="center"/>
    </xf>
    <xf numFmtId="44" fontId="11" fillId="5" borderId="36" xfId="0" applyNumberFormat="1" applyFont="1" applyFill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44" fontId="11" fillId="0" borderId="5" xfId="2" applyFont="1" applyBorder="1"/>
    <xf numFmtId="44" fontId="11" fillId="0" borderId="1" xfId="2" applyFont="1" applyBorder="1"/>
    <xf numFmtId="44" fontId="11" fillId="0" borderId="6" xfId="0" applyNumberFormat="1" applyFont="1" applyBorder="1"/>
    <xf numFmtId="44" fontId="11" fillId="0" borderId="5" xfId="0" applyNumberFormat="1" applyFont="1" applyBorder="1"/>
    <xf numFmtId="17" fontId="11" fillId="0" borderId="1" xfId="0" applyNumberFormat="1" applyFont="1" applyBorder="1"/>
    <xf numFmtId="43" fontId="11" fillId="0" borderId="1" xfId="1" applyFont="1" applyBorder="1"/>
    <xf numFmtId="43" fontId="11" fillId="0" borderId="1" xfId="0" applyNumberFormat="1" applyFont="1" applyBorder="1"/>
    <xf numFmtId="43" fontId="9" fillId="0" borderId="1" xfId="0" applyNumberFormat="1" applyFont="1" applyBorder="1"/>
    <xf numFmtId="43" fontId="9" fillId="0" borderId="1" xfId="1" applyFont="1" applyFill="1" applyBorder="1"/>
    <xf numFmtId="43" fontId="9" fillId="0" borderId="1" xfId="0" applyNumberFormat="1" applyFont="1" applyFill="1" applyBorder="1"/>
    <xf numFmtId="43" fontId="11" fillId="0" borderId="0" xfId="0" applyNumberFormat="1" applyFont="1"/>
    <xf numFmtId="0" fontId="9" fillId="0" borderId="24" xfId="0" applyFont="1" applyBorder="1" applyAlignment="1">
      <alignment horizontal="center"/>
    </xf>
    <xf numFmtId="44" fontId="9" fillId="0" borderId="7" xfId="0" applyNumberFormat="1" applyFont="1" applyBorder="1"/>
    <xf numFmtId="44" fontId="9" fillId="0" borderId="8" xfId="0" applyNumberFormat="1" applyFont="1" applyBorder="1"/>
    <xf numFmtId="44" fontId="9" fillId="0" borderId="9" xfId="0" applyNumberFormat="1" applyFont="1" applyBorder="1"/>
    <xf numFmtId="44" fontId="16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49" fontId="16" fillId="0" borderId="1" xfId="0" applyNumberFormat="1" applyFont="1" applyBorder="1" applyAlignment="1">
      <alignment horizontal="right" vertical="center"/>
    </xf>
    <xf numFmtId="44" fontId="16" fillId="0" borderId="1" xfId="0" applyNumberFormat="1" applyFont="1" applyBorder="1"/>
    <xf numFmtId="0" fontId="16" fillId="0" borderId="1" xfId="0" applyFont="1" applyBorder="1" applyAlignment="1">
      <alignment horizontal="right"/>
    </xf>
    <xf numFmtId="44" fontId="16" fillId="0" borderId="1" xfId="2" applyFont="1" applyBorder="1" applyAlignment="1">
      <alignment horizontal="center" vertical="center"/>
    </xf>
    <xf numFmtId="44" fontId="16" fillId="0" borderId="1" xfId="0" applyNumberFormat="1" applyFont="1" applyBorder="1" applyAlignment="1"/>
    <xf numFmtId="44" fontId="16" fillId="0" borderId="1" xfId="2" applyFont="1" applyBorder="1" applyAlignment="1">
      <alignment vertical="center"/>
    </xf>
    <xf numFmtId="0" fontId="16" fillId="0" borderId="1" xfId="0" applyFont="1" applyBorder="1" applyAlignment="1">
      <alignment horizontal="center"/>
    </xf>
    <xf numFmtId="0" fontId="16" fillId="0" borderId="0" xfId="0" applyFont="1"/>
    <xf numFmtId="0" fontId="15" fillId="0" borderId="1" xfId="0" applyFont="1" applyBorder="1" applyAlignment="1">
      <alignment horizontal="center"/>
    </xf>
    <xf numFmtId="0" fontId="16" fillId="0" borderId="4" xfId="0" applyFont="1" applyBorder="1"/>
    <xf numFmtId="165" fontId="16" fillId="0" borderId="1" xfId="3" applyNumberFormat="1" applyFont="1" applyBorder="1"/>
    <xf numFmtId="166" fontId="16" fillId="0" borderId="1" xfId="0" applyNumberFormat="1" applyFont="1" applyBorder="1"/>
    <xf numFmtId="43" fontId="16" fillId="0" borderId="1" xfId="1" applyFont="1" applyBorder="1"/>
    <xf numFmtId="43" fontId="16" fillId="0" borderId="1" xfId="0" applyNumberFormat="1" applyFont="1" applyBorder="1"/>
    <xf numFmtId="0" fontId="16" fillId="0" borderId="0" xfId="0" applyFont="1" applyAlignment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/>
    <xf numFmtId="165" fontId="15" fillId="0" borderId="1" xfId="0" applyNumberFormat="1" applyFont="1" applyBorder="1"/>
    <xf numFmtId="166" fontId="15" fillId="0" borderId="1" xfId="0" applyNumberFormat="1" applyFont="1" applyBorder="1"/>
    <xf numFmtId="43" fontId="15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10" fontId="15" fillId="0" borderId="1" xfId="0" applyNumberFormat="1" applyFont="1" applyBorder="1"/>
    <xf numFmtId="166" fontId="16" fillId="0" borderId="3" xfId="0" applyNumberFormat="1" applyFont="1" applyBorder="1"/>
    <xf numFmtId="166" fontId="15" fillId="0" borderId="3" xfId="0" applyNumberFormat="1" applyFont="1" applyBorder="1"/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7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44" fontId="16" fillId="0" borderId="1" xfId="2" applyFont="1" applyBorder="1"/>
    <xf numFmtId="44" fontId="15" fillId="0" borderId="1" xfId="0" applyNumberFormat="1" applyFont="1" applyBorder="1"/>
    <xf numFmtId="44" fontId="16" fillId="0" borderId="0" xfId="0" applyNumberFormat="1" applyFont="1"/>
    <xf numFmtId="0" fontId="15" fillId="2" borderId="1" xfId="0" applyFont="1" applyFill="1" applyBorder="1" applyAlignment="1">
      <alignment horizontal="center" vertical="center"/>
    </xf>
    <xf numFmtId="44" fontId="16" fillId="0" borderId="0" xfId="0" applyNumberFormat="1" applyFont="1" applyBorder="1"/>
    <xf numFmtId="0" fontId="15" fillId="0" borderId="0" xfId="0" applyFont="1"/>
    <xf numFmtId="0" fontId="16" fillId="0" borderId="12" xfId="0" applyFont="1" applyBorder="1"/>
    <xf numFmtId="44" fontId="16" fillId="0" borderId="12" xfId="2" applyFont="1" applyBorder="1"/>
    <xf numFmtId="44" fontId="15" fillId="0" borderId="12" xfId="0" applyNumberFormat="1" applyFont="1" applyBorder="1"/>
    <xf numFmtId="43" fontId="16" fillId="0" borderId="0" xfId="1" applyFont="1"/>
    <xf numFmtId="43" fontId="15" fillId="0" borderId="0" xfId="1" applyFont="1"/>
    <xf numFmtId="44" fontId="16" fillId="0" borderId="0" xfId="2" applyFont="1"/>
    <xf numFmtId="0" fontId="15" fillId="0" borderId="25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9" fontId="15" fillId="0" borderId="1" xfId="0" applyNumberFormat="1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7" fontId="16" fillId="0" borderId="1" xfId="0" applyNumberFormat="1" applyFont="1" applyBorder="1" applyAlignment="1">
      <alignment horizontal="center"/>
    </xf>
    <xf numFmtId="44" fontId="16" fillId="4" borderId="1" xfId="0" applyNumberFormat="1" applyFont="1" applyFill="1" applyBorder="1"/>
    <xf numFmtId="165" fontId="16" fillId="0" borderId="1" xfId="3" applyNumberFormat="1" applyFont="1" applyFill="1" applyBorder="1"/>
    <xf numFmtId="165" fontId="16" fillId="0" borderId="0" xfId="3" applyNumberFormat="1" applyFont="1" applyFill="1" applyBorder="1"/>
    <xf numFmtId="165" fontId="16" fillId="0" borderId="1" xfId="3" applyNumberFormat="1" applyFont="1" applyBorder="1" applyAlignment="1">
      <alignment horizontal="center"/>
    </xf>
    <xf numFmtId="44" fontId="15" fillId="4" borderId="1" xfId="0" applyNumberFormat="1" applyFont="1" applyFill="1" applyBorder="1"/>
    <xf numFmtId="9" fontId="16" fillId="0" borderId="0" xfId="0" applyNumberFormat="1" applyFont="1" applyAlignment="1"/>
    <xf numFmtId="165" fontId="16" fillId="0" borderId="0" xfId="3" applyNumberFormat="1" applyFont="1" applyBorder="1"/>
    <xf numFmtId="165" fontId="16" fillId="0" borderId="0" xfId="0" applyNumberFormat="1" applyFont="1" applyAlignment="1"/>
    <xf numFmtId="0" fontId="16" fillId="0" borderId="0" xfId="0" applyFont="1" applyBorder="1"/>
    <xf numFmtId="167" fontId="16" fillId="0" borderId="0" xfId="3" applyNumberFormat="1" applyFont="1" applyBorder="1"/>
    <xf numFmtId="165" fontId="16" fillId="0" borderId="0" xfId="0" applyNumberFormat="1" applyFont="1"/>
    <xf numFmtId="165" fontId="16" fillId="0" borderId="1" xfId="3" applyNumberFormat="1" applyFont="1" applyFill="1" applyBorder="1" applyAlignment="1">
      <alignment horizontal="center"/>
    </xf>
    <xf numFmtId="166" fontId="16" fillId="0" borderId="1" xfId="0" applyNumberFormat="1" applyFont="1" applyFill="1" applyBorder="1"/>
    <xf numFmtId="43" fontId="16" fillId="0" borderId="0" xfId="1" applyFont="1" applyBorder="1"/>
    <xf numFmtId="9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right"/>
    </xf>
    <xf numFmtId="165" fontId="16" fillId="0" borderId="1" xfId="0" applyNumberFormat="1" applyFont="1" applyBorder="1"/>
    <xf numFmtId="165" fontId="16" fillId="0" borderId="0" xfId="0" applyNumberFormat="1" applyFont="1" applyBorder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9" fontId="16" fillId="0" borderId="12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44" fontId="15" fillId="0" borderId="1" xfId="2" applyFont="1" applyBorder="1"/>
    <xf numFmtId="0" fontId="15" fillId="8" borderId="1" xfId="0" applyFont="1" applyFill="1" applyBorder="1" applyAlignment="1">
      <alignment horizontal="center"/>
    </xf>
    <xf numFmtId="170" fontId="16" fillId="0" borderId="1" xfId="3" applyNumberFormat="1" applyFont="1" applyBorder="1"/>
    <xf numFmtId="44" fontId="16" fillId="0" borderId="1" xfId="2" applyFont="1" applyBorder="1" applyAlignment="1">
      <alignment horizontal="center"/>
    </xf>
    <xf numFmtId="170" fontId="16" fillId="0" borderId="1" xfId="0" applyNumberFormat="1" applyFont="1" applyBorder="1"/>
    <xf numFmtId="44" fontId="15" fillId="6" borderId="1" xfId="0" applyNumberFormat="1" applyFont="1" applyFill="1" applyBorder="1"/>
    <xf numFmtId="43" fontId="16" fillId="0" borderId="0" xfId="0" applyNumberFormat="1" applyFont="1"/>
    <xf numFmtId="165" fontId="16" fillId="0" borderId="1" xfId="1" applyNumberFormat="1" applyFont="1" applyBorder="1"/>
    <xf numFmtId="43" fontId="16" fillId="0" borderId="1" xfId="1" applyFont="1" applyBorder="1" applyAlignment="1">
      <alignment horizontal="center"/>
    </xf>
    <xf numFmtId="10" fontId="16" fillId="0" borderId="1" xfId="0" applyNumberFormat="1" applyFont="1" applyBorder="1"/>
    <xf numFmtId="0" fontId="16" fillId="0" borderId="0" xfId="0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6" fillId="5" borderId="36" xfId="0" applyFont="1" applyFill="1" applyBorder="1"/>
    <xf numFmtId="0" fontId="16" fillId="0" borderId="36" xfId="0" applyFont="1" applyBorder="1"/>
    <xf numFmtId="0" fontId="15" fillId="5" borderId="36" xfId="0" applyFont="1" applyFill="1" applyBorder="1" applyAlignment="1">
      <alignment horizontal="center"/>
    </xf>
    <xf numFmtId="44" fontId="16" fillId="5" borderId="36" xfId="0" applyNumberFormat="1" applyFont="1" applyFill="1" applyBorder="1"/>
    <xf numFmtId="44" fontId="16" fillId="5" borderId="41" xfId="0" applyNumberFormat="1" applyFont="1" applyFill="1" applyBorder="1"/>
    <xf numFmtId="44" fontId="16" fillId="5" borderId="40" xfId="0" applyNumberFormat="1" applyFont="1" applyFill="1" applyBorder="1"/>
    <xf numFmtId="44" fontId="16" fillId="5" borderId="0" xfId="0" applyNumberFormat="1" applyFont="1" applyFill="1" applyBorder="1"/>
    <xf numFmtId="0" fontId="16" fillId="5" borderId="37" xfId="0" applyFont="1" applyFill="1" applyBorder="1"/>
    <xf numFmtId="44" fontId="16" fillId="5" borderId="42" xfId="0" applyNumberFormat="1" applyFont="1" applyFill="1" applyBorder="1"/>
    <xf numFmtId="0" fontId="16" fillId="0" borderId="1" xfId="0" applyFont="1" applyFill="1" applyBorder="1" applyAlignment="1">
      <alignment horizontal="center"/>
    </xf>
    <xf numFmtId="0" fontId="16" fillId="0" borderId="4" xfId="0" applyFont="1" applyFill="1" applyBorder="1"/>
    <xf numFmtId="44" fontId="16" fillId="0" borderId="1" xfId="0" applyNumberFormat="1" applyFont="1" applyFill="1" applyBorder="1"/>
    <xf numFmtId="9" fontId="16" fillId="5" borderId="36" xfId="0" applyNumberFormat="1" applyFont="1" applyFill="1" applyBorder="1" applyAlignment="1">
      <alignment horizontal="center"/>
    </xf>
    <xf numFmtId="0" fontId="16" fillId="5" borderId="36" xfId="0" applyFont="1" applyFill="1" applyBorder="1" applyAlignment="1">
      <alignment horizontal="center"/>
    </xf>
    <xf numFmtId="9" fontId="16" fillId="5" borderId="36" xfId="3" applyFont="1" applyFill="1" applyBorder="1" applyAlignment="1">
      <alignment horizontal="center"/>
    </xf>
    <xf numFmtId="9" fontId="16" fillId="5" borderId="36" xfId="0" applyNumberFormat="1" applyFont="1" applyFill="1" applyBorder="1"/>
    <xf numFmtId="0" fontId="16" fillId="0" borderId="1" xfId="0" applyFont="1" applyFill="1" applyBorder="1"/>
    <xf numFmtId="44" fontId="15" fillId="0" borderId="1" xfId="0" applyNumberFormat="1" applyFont="1" applyFill="1" applyBorder="1"/>
    <xf numFmtId="0" fontId="16" fillId="7" borderId="1" xfId="0" applyFont="1" applyFill="1" applyBorder="1" applyAlignment="1">
      <alignment horizontal="center"/>
    </xf>
    <xf numFmtId="0" fontId="16" fillId="7" borderId="1" xfId="0" applyFont="1" applyFill="1" applyBorder="1"/>
    <xf numFmtId="169" fontId="15" fillId="7" borderId="1" xfId="3" applyNumberFormat="1" applyFont="1" applyFill="1" applyBorder="1" applyAlignment="1">
      <alignment horizontal="center"/>
    </xf>
    <xf numFmtId="44" fontId="16" fillId="7" borderId="1" xfId="0" applyNumberFormat="1" applyFont="1" applyFill="1" applyBorder="1"/>
    <xf numFmtId="44" fontId="17" fillId="7" borderId="1" xfId="0" applyNumberFormat="1" applyFont="1" applyFill="1" applyBorder="1"/>
    <xf numFmtId="9" fontId="15" fillId="7" borderId="1" xfId="3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/>
    <xf numFmtId="169" fontId="15" fillId="4" borderId="1" xfId="3" applyNumberFormat="1" applyFont="1" applyFill="1" applyBorder="1" applyAlignment="1">
      <alignment horizontal="center"/>
    </xf>
    <xf numFmtId="44" fontId="17" fillId="4" borderId="1" xfId="0" applyNumberFormat="1" applyFont="1" applyFill="1" applyBorder="1"/>
    <xf numFmtId="9" fontId="15" fillId="4" borderId="1" xfId="3" applyFont="1" applyFill="1" applyBorder="1" applyAlignment="1">
      <alignment horizontal="center"/>
    </xf>
    <xf numFmtId="9" fontId="18" fillId="7" borderId="1" xfId="3" applyFont="1" applyFill="1" applyBorder="1" applyAlignment="1">
      <alignment horizontal="center"/>
    </xf>
    <xf numFmtId="169" fontId="15" fillId="0" borderId="1" xfId="3" applyNumberFormat="1" applyFont="1" applyFill="1" applyBorder="1" applyAlignment="1">
      <alignment horizontal="center"/>
    </xf>
    <xf numFmtId="9" fontId="15" fillId="5" borderId="1" xfId="3" applyFont="1" applyFill="1" applyBorder="1" applyAlignment="1">
      <alignment horizontal="center"/>
    </xf>
    <xf numFmtId="169" fontId="15" fillId="5" borderId="1" xfId="3" applyNumberFormat="1" applyFont="1" applyFill="1" applyBorder="1" applyAlignment="1">
      <alignment horizontal="center"/>
    </xf>
    <xf numFmtId="44" fontId="15" fillId="5" borderId="1" xfId="0" applyNumberFormat="1" applyFont="1" applyFill="1" applyBorder="1"/>
    <xf numFmtId="9" fontId="19" fillId="0" borderId="1" xfId="3" applyFont="1" applyBorder="1" applyAlignment="1">
      <alignment horizontal="center"/>
    </xf>
    <xf numFmtId="9" fontId="16" fillId="5" borderId="1" xfId="3" applyFont="1" applyFill="1" applyBorder="1" applyAlignment="1">
      <alignment horizontal="center"/>
    </xf>
    <xf numFmtId="44" fontId="16" fillId="5" borderId="1" xfId="0" applyNumberFormat="1" applyFont="1" applyFill="1" applyBorder="1"/>
    <xf numFmtId="44" fontId="17" fillId="5" borderId="1" xfId="0" applyNumberFormat="1" applyFont="1" applyFill="1" applyBorder="1"/>
    <xf numFmtId="44" fontId="16" fillId="0" borderId="1" xfId="2" applyFont="1" applyFill="1" applyBorder="1"/>
    <xf numFmtId="0" fontId="15" fillId="2" borderId="4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6" xfId="0" applyFont="1" applyBorder="1"/>
    <xf numFmtId="44" fontId="15" fillId="2" borderId="1" xfId="0" applyNumberFormat="1" applyFont="1" applyFill="1" applyBorder="1"/>
    <xf numFmtId="0" fontId="16" fillId="0" borderId="22" xfId="0" applyFont="1" applyBorder="1"/>
    <xf numFmtId="44" fontId="15" fillId="2" borderId="0" xfId="0" applyNumberFormat="1" applyFont="1" applyFill="1" applyBorder="1"/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5" fillId="0" borderId="1" xfId="0" applyFont="1" applyBorder="1"/>
    <xf numFmtId="169" fontId="3" fillId="5" borderId="33" xfId="0" applyNumberFormat="1" applyFont="1" applyFill="1" applyBorder="1"/>
    <xf numFmtId="0" fontId="9" fillId="0" borderId="43" xfId="0" applyFont="1" applyFill="1" applyBorder="1" applyAlignment="1">
      <alignment vertical="center"/>
    </xf>
    <xf numFmtId="0" fontId="9" fillId="0" borderId="44" xfId="0" applyFont="1" applyFill="1" applyBorder="1" applyAlignment="1">
      <alignment vertical="center"/>
    </xf>
    <xf numFmtId="0" fontId="9" fillId="0" borderId="45" xfId="0" applyFont="1" applyFill="1" applyBorder="1" applyAlignment="1">
      <alignment vertical="center"/>
    </xf>
    <xf numFmtId="0" fontId="13" fillId="0" borderId="40" xfId="0" applyFont="1" applyFill="1" applyBorder="1"/>
    <xf numFmtId="0" fontId="9" fillId="0" borderId="43" xfId="0" applyFont="1" applyFill="1" applyBorder="1" applyAlignment="1"/>
    <xf numFmtId="0" fontId="9" fillId="0" borderId="44" xfId="0" applyFont="1" applyFill="1" applyBorder="1" applyAlignment="1"/>
    <xf numFmtId="0" fontId="13" fillId="5" borderId="42" xfId="0" applyFont="1" applyFill="1" applyBorder="1" applyAlignment="1">
      <alignment horizontal="center"/>
    </xf>
    <xf numFmtId="44" fontId="11" fillId="5" borderId="42" xfId="0" applyNumberFormat="1" applyFont="1" applyFill="1" applyBorder="1"/>
    <xf numFmtId="44" fontId="11" fillId="0" borderId="1" xfId="0" applyNumberFormat="1" applyFont="1" applyFill="1" applyBorder="1"/>
    <xf numFmtId="9" fontId="11" fillId="0" borderId="1" xfId="3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3" fillId="0" borderId="1" xfId="0" applyFont="1" applyFill="1" applyBorder="1" applyAlignment="1"/>
    <xf numFmtId="0" fontId="11" fillId="0" borderId="1" xfId="0" applyFont="1" applyFill="1" applyBorder="1" applyAlignment="1"/>
    <xf numFmtId="169" fontId="4" fillId="5" borderId="1" xfId="3" applyNumberFormat="1" applyFont="1" applyFill="1" applyBorder="1" applyAlignment="1">
      <alignment horizontal="center"/>
    </xf>
    <xf numFmtId="169" fontId="4" fillId="5" borderId="4" xfId="3" applyNumberFormat="1" applyFont="1" applyFill="1" applyBorder="1" applyAlignment="1">
      <alignment horizontal="center"/>
    </xf>
    <xf numFmtId="170" fontId="15" fillId="0" borderId="1" xfId="0" applyNumberFormat="1" applyFont="1" applyBorder="1" applyAlignment="1">
      <alignment horizontal="center"/>
    </xf>
    <xf numFmtId="167" fontId="15" fillId="0" borderId="1" xfId="0" applyNumberFormat="1" applyFont="1" applyBorder="1" applyAlignment="1">
      <alignment horizontal="center"/>
    </xf>
    <xf numFmtId="169" fontId="3" fillId="5" borderId="33" xfId="3" applyNumberFormat="1" applyFont="1" applyFill="1" applyBorder="1" applyAlignment="1">
      <alignment horizontal="center"/>
    </xf>
    <xf numFmtId="169" fontId="3" fillId="5" borderId="34" xfId="3" applyNumberFormat="1" applyFont="1" applyFill="1" applyBorder="1" applyAlignment="1">
      <alignment horizontal="center"/>
    </xf>
    <xf numFmtId="169" fontId="3" fillId="5" borderId="27" xfId="3" applyNumberFormat="1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9" fontId="4" fillId="5" borderId="1" xfId="3" applyNumberFormat="1" applyFont="1" applyFill="1" applyBorder="1" applyAlignment="1">
      <alignment horizontal="center"/>
    </xf>
    <xf numFmtId="169" fontId="4" fillId="5" borderId="4" xfId="3" applyNumberFormat="1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7" fontId="13" fillId="0" borderId="16" xfId="0" applyNumberFormat="1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4" fillId="5" borderId="36" xfId="0" applyFont="1" applyFill="1" applyBorder="1" applyAlignment="1">
      <alignment horizontal="center"/>
    </xf>
    <xf numFmtId="0" fontId="9" fillId="5" borderId="36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9" fontId="11" fillId="0" borderId="1" xfId="3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5" borderId="1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9" fontId="16" fillId="0" borderId="12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4" fontId="16" fillId="0" borderId="1" xfId="2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44" fontId="15" fillId="0" borderId="1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169" fontId="15" fillId="5" borderId="11" xfId="3" applyNumberFormat="1" applyFont="1" applyFill="1" applyBorder="1" applyAlignment="1">
      <alignment horizontal="center" vertical="center" wrapText="1"/>
    </xf>
    <xf numFmtId="169" fontId="15" fillId="5" borderId="12" xfId="3" applyNumberFormat="1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8" borderId="1" xfId="0" applyFont="1" applyFill="1" applyBorder="1" applyAlignment="1">
      <alignment horizontal="center" vertical="center"/>
    </xf>
  </cellXfs>
  <cellStyles count="10">
    <cellStyle name="Moeda" xfId="2" builtinId="4"/>
    <cellStyle name="Normal" xfId="0" builtinId="0"/>
    <cellStyle name="Normal 2" xfId="6" xr:uid="{00000000-0005-0000-0000-000002000000}"/>
    <cellStyle name="Normal 2 2" xfId="4" xr:uid="{00000000-0005-0000-0000-000003000000}"/>
    <cellStyle name="Normal 4" xfId="7" xr:uid="{00000000-0005-0000-0000-000004000000}"/>
    <cellStyle name="Porcentagem" xfId="3" builtinId="5"/>
    <cellStyle name="Separador de milhares 2" xfId="9" xr:uid="{00000000-0005-0000-0000-000007000000}"/>
    <cellStyle name="Vírgula" xfId="1" builtinId="3"/>
    <cellStyle name="Vírgula 2" xfId="5" xr:uid="{00000000-0005-0000-0000-000008000000}"/>
    <cellStyle name="Vírgula 3" xfId="8" xr:uid="{00000000-0005-0000-0000-000009000000}"/>
  </cellStyles>
  <dxfs count="0"/>
  <tableStyles count="0" defaultTableStyle="TableStyleMedium9" defaultPivotStyle="PivotStyleLight16"/>
  <colors>
    <mruColors>
      <color rgb="FFE6E6E6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3"/>
  <sheetViews>
    <sheetView tabSelected="1" zoomScale="80" zoomScaleNormal="80" workbookViewId="0">
      <selection activeCell="K13" sqref="K13"/>
    </sheetView>
  </sheetViews>
  <sheetFormatPr defaultRowHeight="15" x14ac:dyDescent="0.25"/>
  <cols>
    <col min="1" max="1" width="9.140625" style="3"/>
    <col min="2" max="2" width="60.85546875" style="3" customWidth="1"/>
    <col min="3" max="16384" width="9.140625" style="3"/>
  </cols>
  <sheetData>
    <row r="1" spans="2:10" ht="15.75" thickBot="1" x14ac:dyDescent="0.3"/>
    <row r="2" spans="2:10" ht="17.25" thickTop="1" thickBot="1" x14ac:dyDescent="0.3">
      <c r="B2" s="241" t="s">
        <v>273</v>
      </c>
      <c r="C2" s="241"/>
      <c r="D2" s="241"/>
      <c r="E2" s="241"/>
      <c r="F2" s="241"/>
      <c r="G2" s="241"/>
      <c r="H2" s="241"/>
      <c r="J2" s="15"/>
    </row>
    <row r="3" spans="2:10" ht="15.75" thickTop="1" x14ac:dyDescent="0.25">
      <c r="B3" s="255" t="s">
        <v>167</v>
      </c>
      <c r="C3" s="245" t="s">
        <v>168</v>
      </c>
      <c r="D3" s="245"/>
      <c r="E3" s="245" t="s">
        <v>169</v>
      </c>
      <c r="F3" s="245"/>
      <c r="G3" s="245" t="s">
        <v>170</v>
      </c>
      <c r="H3" s="247"/>
      <c r="J3" s="15"/>
    </row>
    <row r="4" spans="2:10" x14ac:dyDescent="0.25">
      <c r="B4" s="252"/>
      <c r="C4" s="246"/>
      <c r="D4" s="246"/>
      <c r="E4" s="246">
        <v>2019</v>
      </c>
      <c r="F4" s="246"/>
      <c r="G4" s="246">
        <v>2019</v>
      </c>
      <c r="H4" s="248"/>
      <c r="J4" s="15"/>
    </row>
    <row r="5" spans="2:10" ht="15.75" x14ac:dyDescent="0.25">
      <c r="B5" s="252"/>
      <c r="C5" s="4">
        <v>0.05</v>
      </c>
      <c r="D5" s="5" t="s">
        <v>2</v>
      </c>
      <c r="E5" s="4">
        <v>0.05</v>
      </c>
      <c r="F5" s="6" t="s">
        <v>2</v>
      </c>
      <c r="G5" s="4">
        <v>0.05</v>
      </c>
      <c r="H5" s="6" t="s">
        <v>2</v>
      </c>
      <c r="J5" s="15"/>
    </row>
    <row r="6" spans="2:10" ht="15.75" x14ac:dyDescent="0.25">
      <c r="B6" s="7" t="s">
        <v>171</v>
      </c>
      <c r="C6" s="8">
        <v>0.3</v>
      </c>
      <c r="D6" s="8">
        <v>0.22500000000000001</v>
      </c>
      <c r="E6" s="8">
        <v>0.2</v>
      </c>
      <c r="F6" s="9">
        <v>0.2</v>
      </c>
      <c r="G6" s="8">
        <v>0.2</v>
      </c>
      <c r="H6" s="9">
        <v>0.2</v>
      </c>
      <c r="J6" s="15"/>
    </row>
    <row r="7" spans="2:10" ht="15.75" x14ac:dyDescent="0.25">
      <c r="B7" s="10" t="s">
        <v>172</v>
      </c>
      <c r="C7" s="234">
        <v>0.3</v>
      </c>
      <c r="D7" s="234">
        <v>0.22500000000000001</v>
      </c>
      <c r="E7" s="234">
        <v>4.0000000000000015E-2</v>
      </c>
      <c r="F7" s="235">
        <v>4.0000000000000015E-2</v>
      </c>
      <c r="G7" s="234">
        <v>0.17</v>
      </c>
      <c r="H7" s="235">
        <v>0.17</v>
      </c>
    </row>
    <row r="8" spans="2:10" ht="15.75" x14ac:dyDescent="0.25">
      <c r="B8" s="10" t="s">
        <v>173</v>
      </c>
      <c r="C8" s="234">
        <v>0.1</v>
      </c>
      <c r="D8" s="234" t="s">
        <v>174</v>
      </c>
      <c r="E8" s="234" t="s">
        <v>174</v>
      </c>
      <c r="F8" s="235" t="s">
        <v>174</v>
      </c>
      <c r="G8" s="234" t="s">
        <v>174</v>
      </c>
      <c r="H8" s="235" t="s">
        <v>174</v>
      </c>
    </row>
    <row r="9" spans="2:10" ht="15.75" x14ac:dyDescent="0.25">
      <c r="B9" s="10" t="s">
        <v>175</v>
      </c>
      <c r="C9" s="234" t="s">
        <v>174</v>
      </c>
      <c r="D9" s="234">
        <v>7.4999999999999997E-2</v>
      </c>
      <c r="E9" s="234">
        <v>0.03</v>
      </c>
      <c r="F9" s="235">
        <v>0.03</v>
      </c>
      <c r="G9" s="234">
        <v>0.03</v>
      </c>
      <c r="H9" s="235">
        <v>0.03</v>
      </c>
    </row>
    <row r="10" spans="2:10" ht="15.75" x14ac:dyDescent="0.25">
      <c r="B10" s="10" t="s">
        <v>176</v>
      </c>
      <c r="C10" s="234">
        <v>0.2</v>
      </c>
      <c r="D10" s="234">
        <v>0.15</v>
      </c>
      <c r="E10" s="234" t="s">
        <v>174</v>
      </c>
      <c r="F10" s="235" t="s">
        <v>174</v>
      </c>
      <c r="G10" s="234" t="s">
        <v>174</v>
      </c>
      <c r="H10" s="235" t="s">
        <v>174</v>
      </c>
    </row>
    <row r="11" spans="2:10" ht="15.75" x14ac:dyDescent="0.25">
      <c r="B11" s="10" t="s">
        <v>177</v>
      </c>
      <c r="C11" s="234">
        <v>0.1</v>
      </c>
      <c r="D11" s="234">
        <v>7.4999999999999997E-2</v>
      </c>
      <c r="E11" s="234" t="s">
        <v>174</v>
      </c>
      <c r="F11" s="235" t="s">
        <v>174</v>
      </c>
      <c r="G11" s="234" t="s">
        <v>174</v>
      </c>
      <c r="H11" s="235" t="s">
        <v>174</v>
      </c>
    </row>
    <row r="12" spans="2:10" ht="15.75" x14ac:dyDescent="0.25">
      <c r="B12" s="10" t="s">
        <v>178</v>
      </c>
      <c r="C12" s="234" t="s">
        <v>174</v>
      </c>
      <c r="D12" s="234">
        <v>0.25</v>
      </c>
      <c r="E12" s="234" t="s">
        <v>174</v>
      </c>
      <c r="F12" s="235" t="s">
        <v>174</v>
      </c>
      <c r="G12" s="234" t="s">
        <v>174</v>
      </c>
      <c r="H12" s="235" t="s">
        <v>174</v>
      </c>
    </row>
    <row r="13" spans="2:10" ht="15.75" x14ac:dyDescent="0.25">
      <c r="B13" s="10" t="s">
        <v>179</v>
      </c>
      <c r="C13" s="234" t="s">
        <v>174</v>
      </c>
      <c r="D13" s="234" t="s">
        <v>174</v>
      </c>
      <c r="E13" s="234">
        <v>0.27000000000000007</v>
      </c>
      <c r="F13" s="235">
        <v>0.27000000000000007</v>
      </c>
      <c r="G13" s="234">
        <v>0.2</v>
      </c>
      <c r="H13" s="235">
        <v>0.2</v>
      </c>
    </row>
    <row r="14" spans="2:10" ht="15.75" x14ac:dyDescent="0.25">
      <c r="B14" s="10" t="s">
        <v>180</v>
      </c>
      <c r="C14" s="234" t="s">
        <v>174</v>
      </c>
      <c r="D14" s="234" t="s">
        <v>174</v>
      </c>
      <c r="E14" s="234">
        <v>0.27000000000000007</v>
      </c>
      <c r="F14" s="235">
        <v>0.27000000000000007</v>
      </c>
      <c r="G14" s="234">
        <v>0.2</v>
      </c>
      <c r="H14" s="235">
        <v>0.2</v>
      </c>
    </row>
    <row r="15" spans="2:10" ht="15.75" x14ac:dyDescent="0.25">
      <c r="B15" s="10" t="s">
        <v>181</v>
      </c>
      <c r="C15" s="234" t="s">
        <v>174</v>
      </c>
      <c r="D15" s="234" t="s">
        <v>174</v>
      </c>
      <c r="E15" s="234">
        <v>0.2</v>
      </c>
      <c r="F15" s="235">
        <v>0.2</v>
      </c>
      <c r="G15" s="234">
        <v>0.2</v>
      </c>
      <c r="H15" s="235">
        <v>0.2</v>
      </c>
    </row>
    <row r="16" spans="2:10" ht="16.5" thickBot="1" x14ac:dyDescent="0.3">
      <c r="B16" s="1" t="s">
        <v>182</v>
      </c>
      <c r="C16" s="2">
        <f>SUM(C6:C15)</f>
        <v>0.99999999999999989</v>
      </c>
      <c r="D16" s="2">
        <f t="shared" ref="D16:H16" si="0">SUM(D6:D15)</f>
        <v>1</v>
      </c>
      <c r="E16" s="2">
        <f t="shared" si="0"/>
        <v>1.01</v>
      </c>
      <c r="F16" s="2">
        <f t="shared" si="0"/>
        <v>1.01</v>
      </c>
      <c r="G16" s="2">
        <f t="shared" si="0"/>
        <v>1</v>
      </c>
      <c r="H16" s="220">
        <f t="shared" si="0"/>
        <v>1</v>
      </c>
      <c r="I16" s="15"/>
    </row>
    <row r="17" spans="2:8" ht="16.5" thickTop="1" thickBot="1" x14ac:dyDescent="0.3"/>
    <row r="18" spans="2:8" ht="17.25" thickTop="1" thickBot="1" x14ac:dyDescent="0.3">
      <c r="B18" s="241" t="s">
        <v>183</v>
      </c>
      <c r="C18" s="241"/>
      <c r="D18" s="241"/>
      <c r="E18" s="241"/>
      <c r="F18" s="241"/>
      <c r="G18" s="241"/>
      <c r="H18" s="241"/>
    </row>
    <row r="19" spans="2:8" ht="15.75" thickTop="1" x14ac:dyDescent="0.25">
      <c r="B19" s="251" t="s">
        <v>184</v>
      </c>
      <c r="C19" s="253" t="s">
        <v>185</v>
      </c>
      <c r="D19" s="253"/>
      <c r="E19" s="253" t="s">
        <v>169</v>
      </c>
      <c r="F19" s="253"/>
      <c r="G19" s="253" t="s">
        <v>170</v>
      </c>
      <c r="H19" s="254"/>
    </row>
    <row r="20" spans="2:8" x14ac:dyDescent="0.25">
      <c r="B20" s="252"/>
      <c r="C20" s="246"/>
      <c r="D20" s="246"/>
      <c r="E20" s="246">
        <v>2019</v>
      </c>
      <c r="F20" s="246"/>
      <c r="G20" s="246">
        <v>2019</v>
      </c>
      <c r="H20" s="248"/>
    </row>
    <row r="21" spans="2:8" ht="15.75" x14ac:dyDescent="0.25">
      <c r="B21" s="10" t="s">
        <v>186</v>
      </c>
      <c r="C21" s="249">
        <v>0.5</v>
      </c>
      <c r="D21" s="249"/>
      <c r="E21" s="249">
        <v>0.46</v>
      </c>
      <c r="F21" s="249"/>
      <c r="G21" s="249">
        <v>0.42</v>
      </c>
      <c r="H21" s="250"/>
    </row>
    <row r="22" spans="2:8" ht="15.75" x14ac:dyDescent="0.25">
      <c r="B22" s="10" t="s">
        <v>187</v>
      </c>
      <c r="C22" s="249">
        <v>0.4</v>
      </c>
      <c r="D22" s="249"/>
      <c r="E22" s="249">
        <v>0.2</v>
      </c>
      <c r="F22" s="249"/>
      <c r="G22" s="249">
        <v>0.34</v>
      </c>
      <c r="H22" s="250"/>
    </row>
    <row r="23" spans="2:8" ht="15.75" x14ac:dyDescent="0.25">
      <c r="B23" s="10" t="s">
        <v>188</v>
      </c>
      <c r="C23" s="249">
        <v>0.1</v>
      </c>
      <c r="D23" s="249"/>
      <c r="E23" s="249">
        <v>0.04</v>
      </c>
      <c r="F23" s="249"/>
      <c r="G23" s="249">
        <v>0.05</v>
      </c>
      <c r="H23" s="250"/>
    </row>
    <row r="24" spans="2:8" ht="15.75" x14ac:dyDescent="0.25">
      <c r="B24" s="10" t="s">
        <v>179</v>
      </c>
      <c r="C24" s="249" t="s">
        <v>174</v>
      </c>
      <c r="D24" s="249"/>
      <c r="E24" s="249">
        <v>0.15</v>
      </c>
      <c r="F24" s="249"/>
      <c r="G24" s="249">
        <v>9.5000000000000001E-2</v>
      </c>
      <c r="H24" s="250"/>
    </row>
    <row r="25" spans="2:8" ht="15.75" x14ac:dyDescent="0.25">
      <c r="B25" s="10" t="s">
        <v>189</v>
      </c>
      <c r="C25" s="249" t="s">
        <v>174</v>
      </c>
      <c r="D25" s="249"/>
      <c r="E25" s="249">
        <v>0.15</v>
      </c>
      <c r="F25" s="249"/>
      <c r="G25" s="249">
        <v>9.5000000000000001E-2</v>
      </c>
      <c r="H25" s="250"/>
    </row>
    <row r="26" spans="2:8" ht="16.5" thickBot="1" x14ac:dyDescent="0.3">
      <c r="B26" s="11" t="s">
        <v>182</v>
      </c>
      <c r="C26" s="238">
        <f>SUM(C21:C25)</f>
        <v>1</v>
      </c>
      <c r="D26" s="239"/>
      <c r="E26" s="238">
        <f>SUM(E21:F25)</f>
        <v>1</v>
      </c>
      <c r="F26" s="240"/>
      <c r="G26" s="238">
        <f>SUM(G21:H25)</f>
        <v>1</v>
      </c>
      <c r="H26" s="239"/>
    </row>
    <row r="27" spans="2:8" ht="16.5" thickTop="1" thickBot="1" x14ac:dyDescent="0.3"/>
    <row r="28" spans="2:8" ht="17.25" thickTop="1" thickBot="1" x14ac:dyDescent="0.3">
      <c r="B28" s="241" t="s">
        <v>190</v>
      </c>
      <c r="C28" s="241"/>
      <c r="D28" s="241"/>
      <c r="E28" s="241"/>
      <c r="F28" s="241"/>
      <c r="G28" s="241"/>
      <c r="H28" s="241"/>
    </row>
    <row r="29" spans="2:8" ht="15.75" thickTop="1" x14ac:dyDescent="0.25">
      <c r="B29" s="242" t="s">
        <v>184</v>
      </c>
      <c r="C29" s="245" t="s">
        <v>168</v>
      </c>
      <c r="D29" s="245"/>
      <c r="E29" s="245" t="s">
        <v>169</v>
      </c>
      <c r="F29" s="245"/>
      <c r="G29" s="245" t="s">
        <v>170</v>
      </c>
      <c r="H29" s="247"/>
    </row>
    <row r="30" spans="2:8" x14ac:dyDescent="0.25">
      <c r="B30" s="243"/>
      <c r="C30" s="246"/>
      <c r="D30" s="246"/>
      <c r="E30" s="246">
        <v>2019</v>
      </c>
      <c r="F30" s="246"/>
      <c r="G30" s="246">
        <v>2019</v>
      </c>
      <c r="H30" s="248"/>
    </row>
    <row r="31" spans="2:8" ht="15.75" x14ac:dyDescent="0.25">
      <c r="B31" s="244"/>
      <c r="C31" s="4">
        <v>0.05</v>
      </c>
      <c r="D31" s="5" t="s">
        <v>2</v>
      </c>
      <c r="E31" s="4">
        <v>0.05</v>
      </c>
      <c r="F31" s="6" t="s">
        <v>2</v>
      </c>
      <c r="G31" s="4">
        <v>0.05</v>
      </c>
      <c r="H31" s="6" t="s">
        <v>2</v>
      </c>
    </row>
    <row r="32" spans="2:8" ht="15.75" x14ac:dyDescent="0.25">
      <c r="B32" s="10" t="s">
        <v>191</v>
      </c>
      <c r="C32" s="234">
        <v>0.3</v>
      </c>
      <c r="D32" s="234">
        <v>0.22500000000000001</v>
      </c>
      <c r="E32" s="234">
        <v>0.22</v>
      </c>
      <c r="F32" s="235">
        <v>0.22</v>
      </c>
      <c r="G32" s="8">
        <v>0.2</v>
      </c>
      <c r="H32" s="9">
        <v>0.2</v>
      </c>
    </row>
    <row r="33" spans="2:8" ht="15.75" x14ac:dyDescent="0.25">
      <c r="B33" s="10" t="s">
        <v>192</v>
      </c>
      <c r="C33" s="234">
        <v>0.3</v>
      </c>
      <c r="D33" s="234">
        <v>0.22500000000000001</v>
      </c>
      <c r="E33" s="234">
        <v>0.05</v>
      </c>
      <c r="F33" s="235">
        <v>0.05</v>
      </c>
      <c r="G33" s="234">
        <v>0.17</v>
      </c>
      <c r="H33" s="235">
        <v>0.17</v>
      </c>
    </row>
    <row r="34" spans="2:8" ht="15.75" x14ac:dyDescent="0.25">
      <c r="B34" s="10" t="s">
        <v>193</v>
      </c>
      <c r="C34" s="234">
        <v>0.1</v>
      </c>
      <c r="D34" s="234" t="s">
        <v>174</v>
      </c>
      <c r="E34" s="234" t="s">
        <v>174</v>
      </c>
      <c r="F34" s="235" t="s">
        <v>174</v>
      </c>
      <c r="G34" s="234" t="s">
        <v>174</v>
      </c>
      <c r="H34" s="235" t="s">
        <v>174</v>
      </c>
    </row>
    <row r="35" spans="2:8" ht="15.75" x14ac:dyDescent="0.25">
      <c r="B35" s="10" t="s">
        <v>194</v>
      </c>
      <c r="C35" s="234" t="s">
        <v>174</v>
      </c>
      <c r="D35" s="234">
        <v>7.4999999999999997E-2</v>
      </c>
      <c r="E35" s="234">
        <v>0.02</v>
      </c>
      <c r="F35" s="235">
        <v>0.02</v>
      </c>
      <c r="G35" s="234">
        <v>0.03</v>
      </c>
      <c r="H35" s="235">
        <v>0.03</v>
      </c>
    </row>
    <row r="36" spans="2:8" ht="15.75" x14ac:dyDescent="0.25">
      <c r="B36" s="10" t="s">
        <v>177</v>
      </c>
      <c r="C36" s="234">
        <v>0.1</v>
      </c>
      <c r="D36" s="234">
        <v>7.4999999999999997E-2</v>
      </c>
      <c r="E36" s="234" t="s">
        <v>174</v>
      </c>
      <c r="F36" s="235" t="s">
        <v>174</v>
      </c>
      <c r="G36" s="234" t="s">
        <v>174</v>
      </c>
      <c r="H36" s="235" t="s">
        <v>174</v>
      </c>
    </row>
    <row r="37" spans="2:8" ht="15.75" x14ac:dyDescent="0.25">
      <c r="B37" s="10" t="s">
        <v>195</v>
      </c>
      <c r="C37" s="234">
        <v>0.15</v>
      </c>
      <c r="D37" s="234">
        <v>0.3</v>
      </c>
      <c r="E37" s="234" t="s">
        <v>174</v>
      </c>
      <c r="F37" s="235" t="s">
        <v>174</v>
      </c>
      <c r="G37" s="234" t="s">
        <v>174</v>
      </c>
      <c r="H37" s="235" t="s">
        <v>174</v>
      </c>
    </row>
    <row r="38" spans="2:8" ht="15.75" x14ac:dyDescent="0.25">
      <c r="B38" s="10" t="s">
        <v>196</v>
      </c>
      <c r="C38" s="234">
        <v>0.05</v>
      </c>
      <c r="D38" s="234">
        <v>0.1</v>
      </c>
      <c r="E38" s="234" t="s">
        <v>174</v>
      </c>
      <c r="F38" s="235" t="s">
        <v>174</v>
      </c>
      <c r="G38" s="234" t="s">
        <v>174</v>
      </c>
      <c r="H38" s="235" t="s">
        <v>174</v>
      </c>
    </row>
    <row r="39" spans="2:8" ht="15.75" x14ac:dyDescent="0.25">
      <c r="B39" s="10" t="s">
        <v>179</v>
      </c>
      <c r="C39" s="234" t="s">
        <v>174</v>
      </c>
      <c r="D39" s="234" t="s">
        <v>174</v>
      </c>
      <c r="E39" s="234">
        <v>0.245</v>
      </c>
      <c r="F39" s="235">
        <v>0.245</v>
      </c>
      <c r="G39" s="234">
        <v>0.2</v>
      </c>
      <c r="H39" s="235">
        <v>0.2</v>
      </c>
    </row>
    <row r="40" spans="2:8" ht="15.75" x14ac:dyDescent="0.25">
      <c r="B40" s="10" t="s">
        <v>180</v>
      </c>
      <c r="C40" s="234" t="s">
        <v>174</v>
      </c>
      <c r="D40" s="234" t="s">
        <v>174</v>
      </c>
      <c r="E40" s="234">
        <v>0.245</v>
      </c>
      <c r="F40" s="235">
        <v>0.245</v>
      </c>
      <c r="G40" s="234">
        <v>0.2</v>
      </c>
      <c r="H40" s="235">
        <v>0.2</v>
      </c>
    </row>
    <row r="41" spans="2:8" ht="15.75" x14ac:dyDescent="0.25">
      <c r="B41" s="12" t="s">
        <v>181</v>
      </c>
      <c r="C41" s="234" t="s">
        <v>174</v>
      </c>
      <c r="D41" s="234" t="s">
        <v>174</v>
      </c>
      <c r="E41" s="234">
        <v>0.22</v>
      </c>
      <c r="F41" s="235">
        <v>0.22</v>
      </c>
      <c r="G41" s="234">
        <v>0.2</v>
      </c>
      <c r="H41" s="235">
        <v>0.2</v>
      </c>
    </row>
    <row r="42" spans="2:8" ht="16.5" thickBot="1" x14ac:dyDescent="0.3">
      <c r="B42" s="1" t="s">
        <v>182</v>
      </c>
      <c r="C42" s="13">
        <f>SUM(C32:C41)</f>
        <v>1</v>
      </c>
      <c r="D42" s="13">
        <f t="shared" ref="D42:H42" si="1">SUM(D32:D41)</f>
        <v>0.99999999999999989</v>
      </c>
      <c r="E42" s="13">
        <f t="shared" si="1"/>
        <v>1</v>
      </c>
      <c r="F42" s="14">
        <f t="shared" si="1"/>
        <v>1</v>
      </c>
      <c r="G42" s="13">
        <f t="shared" si="1"/>
        <v>1</v>
      </c>
      <c r="H42" s="14">
        <f t="shared" si="1"/>
        <v>1</v>
      </c>
    </row>
    <row r="43" spans="2:8" ht="15.75" thickTop="1" x14ac:dyDescent="0.25"/>
  </sheetData>
  <mergeCells count="33">
    <mergeCell ref="B18:H18"/>
    <mergeCell ref="B2:H2"/>
    <mergeCell ref="B3:B5"/>
    <mergeCell ref="C3:D4"/>
    <mergeCell ref="E3:F4"/>
    <mergeCell ref="G3:H4"/>
    <mergeCell ref="B19:B20"/>
    <mergeCell ref="C19:D20"/>
    <mergeCell ref="E19:F20"/>
    <mergeCell ref="G19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B28:H28"/>
    <mergeCell ref="B29:B31"/>
    <mergeCell ref="C29:D30"/>
    <mergeCell ref="E29:F30"/>
    <mergeCell ref="G29:H30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7"/>
  <sheetViews>
    <sheetView topLeftCell="K1" workbookViewId="0">
      <selection activeCell="N2" sqref="N2:V31"/>
    </sheetView>
  </sheetViews>
  <sheetFormatPr defaultColWidth="9.140625" defaultRowHeight="10.5" x14ac:dyDescent="0.15"/>
  <cols>
    <col min="1" max="1" width="7" style="88" bestFit="1" customWidth="1"/>
    <col min="2" max="2" width="22" style="88" bestFit="1" customWidth="1"/>
    <col min="3" max="3" width="20.7109375" style="88" bestFit="1" customWidth="1"/>
    <col min="4" max="5" width="23.140625" style="88" bestFit="1" customWidth="1"/>
    <col min="6" max="7" width="22" style="88" bestFit="1" customWidth="1"/>
    <col min="8" max="8" width="10" style="88" bestFit="1" customWidth="1"/>
    <col min="9" max="9" width="3.5703125" style="88" bestFit="1" customWidth="1"/>
    <col min="10" max="10" width="21.140625" style="88" customWidth="1"/>
    <col min="11" max="11" width="12.5703125" style="88" bestFit="1" customWidth="1"/>
    <col min="12" max="12" width="19.7109375" style="88" bestFit="1" customWidth="1"/>
    <col min="13" max="13" width="11.85546875" style="88" customWidth="1"/>
    <col min="14" max="14" width="3.5703125" style="88" bestFit="1" customWidth="1"/>
    <col min="15" max="15" width="18" style="88" bestFit="1" customWidth="1"/>
    <col min="16" max="16" width="12.7109375" style="88" bestFit="1" customWidth="1"/>
    <col min="17" max="17" width="20.140625" style="88" bestFit="1" customWidth="1"/>
    <col min="18" max="18" width="12.28515625" style="88" bestFit="1" customWidth="1"/>
    <col min="19" max="19" width="20.140625" style="88" bestFit="1" customWidth="1"/>
    <col min="20" max="20" width="12.7109375" style="88" bestFit="1" customWidth="1"/>
    <col min="21" max="21" width="22" style="88" bestFit="1" customWidth="1"/>
    <col min="22" max="22" width="19" style="88" bestFit="1" customWidth="1"/>
    <col min="23" max="16384" width="9.140625" style="88"/>
  </cols>
  <sheetData>
    <row r="1" spans="1:22" x14ac:dyDescent="0.15">
      <c r="A1" s="329" t="s">
        <v>147</v>
      </c>
      <c r="B1" s="329"/>
      <c r="C1" s="329"/>
      <c r="D1" s="329"/>
      <c r="E1" s="329"/>
      <c r="F1" s="329"/>
      <c r="G1" s="329"/>
      <c r="I1" s="324" t="s">
        <v>162</v>
      </c>
      <c r="J1" s="324"/>
      <c r="K1" s="324"/>
      <c r="L1" s="324"/>
      <c r="M1" s="123"/>
      <c r="P1" s="324" t="s">
        <v>127</v>
      </c>
      <c r="Q1" s="324"/>
      <c r="R1" s="324"/>
      <c r="S1" s="324"/>
      <c r="T1" s="324"/>
      <c r="U1" s="324"/>
      <c r="V1" s="324"/>
    </row>
    <row r="2" spans="1:22" x14ac:dyDescent="0.15">
      <c r="A2" s="330"/>
      <c r="B2" s="301" t="s">
        <v>140</v>
      </c>
      <c r="C2" s="303"/>
      <c r="D2" s="324" t="s">
        <v>141</v>
      </c>
      <c r="E2" s="324"/>
      <c r="F2" s="332" t="s">
        <v>142</v>
      </c>
      <c r="G2" s="333"/>
      <c r="I2" s="324" t="s">
        <v>161</v>
      </c>
      <c r="J2" s="324"/>
      <c r="K2" s="337">
        <f>F16+C20</f>
        <v>7258888316.5997009</v>
      </c>
      <c r="L2" s="324"/>
      <c r="M2" s="124"/>
      <c r="N2" s="285" t="s">
        <v>264</v>
      </c>
      <c r="O2" s="285"/>
      <c r="P2" s="301" t="s">
        <v>130</v>
      </c>
      <c r="Q2" s="303"/>
      <c r="R2" s="301" t="s">
        <v>131</v>
      </c>
      <c r="S2" s="303"/>
      <c r="T2" s="301" t="s">
        <v>132</v>
      </c>
      <c r="U2" s="303"/>
      <c r="V2" s="335" t="s">
        <v>28</v>
      </c>
    </row>
    <row r="3" spans="1:22" x14ac:dyDescent="0.15">
      <c r="A3" s="331"/>
      <c r="B3" s="125">
        <v>0.05</v>
      </c>
      <c r="C3" s="108" t="s">
        <v>2</v>
      </c>
      <c r="D3" s="125">
        <v>0.05</v>
      </c>
      <c r="E3" s="108" t="s">
        <v>2</v>
      </c>
      <c r="F3" s="126" t="s">
        <v>126</v>
      </c>
      <c r="G3" s="126" t="s">
        <v>127</v>
      </c>
      <c r="I3" s="324" t="s">
        <v>163</v>
      </c>
      <c r="J3" s="324"/>
      <c r="K3" s="127" t="s">
        <v>146</v>
      </c>
      <c r="L3" s="157" t="s">
        <v>129</v>
      </c>
      <c r="M3" s="128"/>
      <c r="N3" s="285"/>
      <c r="O3" s="285"/>
      <c r="P3" s="108" t="s">
        <v>128</v>
      </c>
      <c r="Q3" s="108" t="s">
        <v>129</v>
      </c>
      <c r="R3" s="108" t="s">
        <v>128</v>
      </c>
      <c r="S3" s="108" t="s">
        <v>129</v>
      </c>
      <c r="T3" s="108" t="s">
        <v>128</v>
      </c>
      <c r="U3" s="108" t="s">
        <v>129</v>
      </c>
      <c r="V3" s="336"/>
    </row>
    <row r="4" spans="1:22" x14ac:dyDescent="0.15">
      <c r="A4" s="129">
        <v>43101</v>
      </c>
      <c r="B4" s="111">
        <v>73570224.519999996</v>
      </c>
      <c r="C4" s="111">
        <v>54587380.399999999</v>
      </c>
      <c r="D4" s="82">
        <f>B4*100/10</f>
        <v>735702245.20000005</v>
      </c>
      <c r="E4" s="82">
        <f>C4*100/7.5</f>
        <v>727831738.66666663</v>
      </c>
      <c r="F4" s="130">
        <f>(D4+E4)*0.2</f>
        <v>292706796.77333337</v>
      </c>
      <c r="G4" s="130">
        <f>(D4+E4)*0.2</f>
        <v>292706796.77333337</v>
      </c>
      <c r="I4" s="107" t="s">
        <v>90</v>
      </c>
      <c r="J4" s="98" t="s">
        <v>91</v>
      </c>
      <c r="K4" s="131">
        <v>3.9578670000000003E-2</v>
      </c>
      <c r="L4" s="111">
        <f t="shared" ref="L4:L30" si="0">$K$2*K4</f>
        <v>287297145.24955511</v>
      </c>
      <c r="M4" s="132"/>
      <c r="N4" s="107" t="s">
        <v>90</v>
      </c>
      <c r="O4" s="90" t="s">
        <v>91</v>
      </c>
      <c r="P4" s="133">
        <v>3.1021110000000001E-2</v>
      </c>
      <c r="Q4" s="92">
        <f t="shared" ref="Q4:Q30" si="1">$C$27*P4</f>
        <v>22517877.294695418</v>
      </c>
      <c r="R4" s="133">
        <v>0</v>
      </c>
      <c r="S4" s="92">
        <f t="shared" ref="S4:S30" si="2">$C$28*R4</f>
        <v>0</v>
      </c>
      <c r="T4" s="133">
        <v>3.8782910294813109E-3</v>
      </c>
      <c r="U4" s="92">
        <f t="shared" ref="U4:U30" si="3">$C$29*T4</f>
        <v>24323398.366125874</v>
      </c>
      <c r="V4" s="93">
        <f t="shared" ref="V4:V30" si="4">Q4+S4+U4</f>
        <v>46841275.660821289</v>
      </c>
    </row>
    <row r="5" spans="1:22" x14ac:dyDescent="0.15">
      <c r="A5" s="129">
        <v>43132</v>
      </c>
      <c r="B5" s="111">
        <v>78365330.349999994</v>
      </c>
      <c r="C5" s="111">
        <v>58155289.380000003</v>
      </c>
      <c r="D5" s="82">
        <f t="shared" ref="D5:D16" si="5">B5*100/10</f>
        <v>783653303.49999988</v>
      </c>
      <c r="E5" s="82">
        <f t="shared" ref="E5:E16" si="6">C5*100/7.5</f>
        <v>775403858.39999998</v>
      </c>
      <c r="F5" s="130">
        <f t="shared" ref="F5:F15" si="7">(D5+E5)*0.2</f>
        <v>311811432.38</v>
      </c>
      <c r="G5" s="130">
        <f t="shared" ref="G5:G15" si="8">(D5+E5)*0.2</f>
        <v>311811432.38</v>
      </c>
      <c r="I5" s="107" t="s">
        <v>4</v>
      </c>
      <c r="J5" s="98" t="s">
        <v>92</v>
      </c>
      <c r="K5" s="131">
        <v>4.7438639999999997E-2</v>
      </c>
      <c r="L5" s="111">
        <f t="shared" si="0"/>
        <v>344351789.65137923</v>
      </c>
      <c r="M5" s="132"/>
      <c r="N5" s="107" t="s">
        <v>4</v>
      </c>
      <c r="O5" s="90" t="s">
        <v>92</v>
      </c>
      <c r="P5" s="133">
        <v>4.3084879999999999E-2</v>
      </c>
      <c r="Q5" s="92">
        <f t="shared" si="1"/>
        <v>31274833.205410015</v>
      </c>
      <c r="R5" s="133">
        <v>1.0501440000000001E-2</v>
      </c>
      <c r="S5" s="92">
        <f t="shared" si="2"/>
        <v>2744236.0844450193</v>
      </c>
      <c r="T5" s="133">
        <v>1.8666246255714922E-2</v>
      </c>
      <c r="U5" s="92">
        <f t="shared" si="3"/>
        <v>117068714.08737002</v>
      </c>
      <c r="V5" s="93">
        <f t="shared" si="4"/>
        <v>151087783.37722504</v>
      </c>
    </row>
    <row r="6" spans="1:22" x14ac:dyDescent="0.15">
      <c r="A6" s="129">
        <v>43160</v>
      </c>
      <c r="B6" s="111">
        <v>82846355.109999999</v>
      </c>
      <c r="C6" s="111">
        <v>61505464.659999996</v>
      </c>
      <c r="D6" s="82">
        <f t="shared" si="5"/>
        <v>828463551.10000002</v>
      </c>
      <c r="E6" s="82">
        <f t="shared" si="6"/>
        <v>820072862.13333333</v>
      </c>
      <c r="F6" s="130">
        <f t="shared" si="7"/>
        <v>329707282.64666671</v>
      </c>
      <c r="G6" s="130">
        <f t="shared" si="8"/>
        <v>329707282.64666671</v>
      </c>
      <c r="I6" s="107" t="s">
        <v>8</v>
      </c>
      <c r="J6" s="98" t="s">
        <v>93</v>
      </c>
      <c r="K6" s="131">
        <v>4.6228980000000003E-2</v>
      </c>
      <c r="L6" s="111">
        <f t="shared" si="0"/>
        <v>335571002.81032127</v>
      </c>
      <c r="M6" s="132"/>
      <c r="N6" s="107" t="s">
        <v>8</v>
      </c>
      <c r="O6" s="90" t="s">
        <v>93</v>
      </c>
      <c r="P6" s="133">
        <v>5.428695E-2</v>
      </c>
      <c r="Q6" s="92">
        <f t="shared" si="1"/>
        <v>39406290.70988322</v>
      </c>
      <c r="R6" s="133">
        <v>0</v>
      </c>
      <c r="S6" s="92">
        <f t="shared" si="2"/>
        <v>0</v>
      </c>
      <c r="T6" s="133">
        <v>1.4157338798675685E-2</v>
      </c>
      <c r="U6" s="92">
        <f t="shared" si="3"/>
        <v>88790291.596670896</v>
      </c>
      <c r="V6" s="93">
        <f t="shared" si="4"/>
        <v>128196582.30655411</v>
      </c>
    </row>
    <row r="7" spans="1:22" x14ac:dyDescent="0.15">
      <c r="A7" s="129">
        <v>43191</v>
      </c>
      <c r="B7" s="111">
        <v>70426913.150000006</v>
      </c>
      <c r="C7" s="111">
        <v>52338084.200000003</v>
      </c>
      <c r="D7" s="82">
        <f t="shared" si="5"/>
        <v>704269131.50000012</v>
      </c>
      <c r="E7" s="82">
        <f t="shared" si="6"/>
        <v>697841122.66666663</v>
      </c>
      <c r="F7" s="130">
        <f t="shared" si="7"/>
        <v>280422050.83333337</v>
      </c>
      <c r="G7" s="130">
        <f t="shared" si="8"/>
        <v>280422050.83333337</v>
      </c>
      <c r="I7" s="107" t="s">
        <v>9</v>
      </c>
      <c r="J7" s="98" t="s">
        <v>94</v>
      </c>
      <c r="K7" s="131">
        <v>3.545446E-2</v>
      </c>
      <c r="L7" s="111">
        <f t="shared" si="0"/>
        <v>257359965.46535143</v>
      </c>
      <c r="M7" s="132"/>
      <c r="N7" s="107" t="s">
        <v>9</v>
      </c>
      <c r="O7" s="90" t="s">
        <v>94</v>
      </c>
      <c r="P7" s="133">
        <v>2.7574319999999999E-2</v>
      </c>
      <c r="Q7" s="92">
        <f t="shared" si="1"/>
        <v>20015890.928618148</v>
      </c>
      <c r="R7" s="133">
        <v>0</v>
      </c>
      <c r="S7" s="92">
        <f t="shared" si="2"/>
        <v>0</v>
      </c>
      <c r="T7" s="133">
        <v>2.6170581743654381E-3</v>
      </c>
      <c r="U7" s="92">
        <f t="shared" si="3"/>
        <v>16413350.116979251</v>
      </c>
      <c r="V7" s="93">
        <f t="shared" si="4"/>
        <v>36429241.045597397</v>
      </c>
    </row>
    <row r="8" spans="1:22" x14ac:dyDescent="0.15">
      <c r="A8" s="129">
        <v>43221</v>
      </c>
      <c r="B8" s="111">
        <v>77340855.819999993</v>
      </c>
      <c r="C8" s="111">
        <v>57467933.030000001</v>
      </c>
      <c r="D8" s="82">
        <f t="shared" si="5"/>
        <v>773408558.19999993</v>
      </c>
      <c r="E8" s="82">
        <f t="shared" si="6"/>
        <v>766239107.06666672</v>
      </c>
      <c r="F8" s="130">
        <f t="shared" si="7"/>
        <v>307929533.05333334</v>
      </c>
      <c r="G8" s="130">
        <f t="shared" si="8"/>
        <v>307929533.05333334</v>
      </c>
      <c r="I8" s="107" t="s">
        <v>10</v>
      </c>
      <c r="J8" s="98" t="s">
        <v>95</v>
      </c>
      <c r="K8" s="131">
        <v>8.4059040000000002E-2</v>
      </c>
      <c r="L8" s="111">
        <f t="shared" si="0"/>
        <v>610175183.36058688</v>
      </c>
      <c r="M8" s="132"/>
      <c r="N8" s="107" t="s">
        <v>10</v>
      </c>
      <c r="O8" s="90" t="s">
        <v>95</v>
      </c>
      <c r="P8" s="133">
        <v>7.7552780000000002E-2</v>
      </c>
      <c r="Q8" s="92">
        <f t="shared" si="1"/>
        <v>56294696.8661827</v>
      </c>
      <c r="R8" s="133">
        <v>0.11341559999999996</v>
      </c>
      <c r="S8" s="92">
        <f t="shared" si="2"/>
        <v>29637762.255365208</v>
      </c>
      <c r="T8" s="133">
        <v>8.4250354721740445E-2</v>
      </c>
      <c r="U8" s="92">
        <f t="shared" si="3"/>
        <v>528391223.04299515</v>
      </c>
      <c r="V8" s="93">
        <f t="shared" si="4"/>
        <v>614323682.16454303</v>
      </c>
    </row>
    <row r="9" spans="1:22" x14ac:dyDescent="0.15">
      <c r="A9" s="129">
        <v>43252</v>
      </c>
      <c r="B9" s="111">
        <v>85007238.560000002</v>
      </c>
      <c r="C9" s="111">
        <v>63209626.740000002</v>
      </c>
      <c r="D9" s="82">
        <f t="shared" si="5"/>
        <v>850072385.60000002</v>
      </c>
      <c r="E9" s="82">
        <f t="shared" si="6"/>
        <v>842795023.20000005</v>
      </c>
      <c r="F9" s="130">
        <f t="shared" si="7"/>
        <v>338573481.76000005</v>
      </c>
      <c r="G9" s="130">
        <f t="shared" si="8"/>
        <v>338573481.76000005</v>
      </c>
      <c r="I9" s="107" t="s">
        <v>11</v>
      </c>
      <c r="J9" s="98" t="s">
        <v>96</v>
      </c>
      <c r="K9" s="131">
        <v>6.4391260000000006E-2</v>
      </c>
      <c r="L9" s="111">
        <f t="shared" si="0"/>
        <v>467408964.90513372</v>
      </c>
      <c r="M9" s="132"/>
      <c r="N9" s="107" t="s">
        <v>11</v>
      </c>
      <c r="O9" s="90" t="s">
        <v>96</v>
      </c>
      <c r="P9" s="133">
        <v>8.6169750000000003E-2</v>
      </c>
      <c r="Q9" s="92">
        <f t="shared" si="1"/>
        <v>62549659.151931718</v>
      </c>
      <c r="R9" s="133">
        <v>4.2005760000000003E-2</v>
      </c>
      <c r="S9" s="92">
        <f t="shared" si="2"/>
        <v>10976944.337780077</v>
      </c>
      <c r="T9" s="133">
        <v>4.1904461611224901E-2</v>
      </c>
      <c r="U9" s="92">
        <f t="shared" si="3"/>
        <v>262811353.07789665</v>
      </c>
      <c r="V9" s="93">
        <f t="shared" si="4"/>
        <v>336337956.56760848</v>
      </c>
    </row>
    <row r="10" spans="1:22" x14ac:dyDescent="0.15">
      <c r="A10" s="129">
        <v>43282</v>
      </c>
      <c r="B10" s="111">
        <v>102271256.53</v>
      </c>
      <c r="C10" s="111">
        <v>76011519.909999996</v>
      </c>
      <c r="D10" s="82">
        <f t="shared" si="5"/>
        <v>1022712565.3</v>
      </c>
      <c r="E10" s="82">
        <f t="shared" si="6"/>
        <v>1013486932.1333333</v>
      </c>
      <c r="F10" s="130">
        <f t="shared" si="7"/>
        <v>407239899.48666668</v>
      </c>
      <c r="G10" s="130">
        <f t="shared" si="8"/>
        <v>407239899.48666668</v>
      </c>
      <c r="I10" s="107" t="s">
        <v>97</v>
      </c>
      <c r="J10" s="98" t="s">
        <v>98</v>
      </c>
      <c r="K10" s="131">
        <v>6.5158799999999999E-3</v>
      </c>
      <c r="L10" s="111">
        <f t="shared" si="0"/>
        <v>47298045.204365656</v>
      </c>
      <c r="M10" s="132"/>
      <c r="N10" s="107" t="s">
        <v>97</v>
      </c>
      <c r="O10" s="90" t="s">
        <v>98</v>
      </c>
      <c r="P10" s="133">
        <v>1.7233950000000001E-2</v>
      </c>
      <c r="Q10" s="92">
        <f t="shared" si="1"/>
        <v>12509931.830386344</v>
      </c>
      <c r="R10" s="133">
        <v>0</v>
      </c>
      <c r="S10" s="92">
        <f t="shared" si="2"/>
        <v>0</v>
      </c>
      <c r="T10" s="133">
        <v>0</v>
      </c>
      <c r="U10" s="92">
        <f t="shared" si="3"/>
        <v>0</v>
      </c>
      <c r="V10" s="93">
        <f t="shared" si="4"/>
        <v>12509931.830386344</v>
      </c>
    </row>
    <row r="11" spans="1:22" x14ac:dyDescent="0.15">
      <c r="A11" s="129">
        <v>43313</v>
      </c>
      <c r="B11" s="111">
        <v>99402219.069999993</v>
      </c>
      <c r="C11" s="111">
        <v>73816488.390000001</v>
      </c>
      <c r="D11" s="82">
        <f t="shared" si="5"/>
        <v>994022190.70000005</v>
      </c>
      <c r="E11" s="82">
        <f t="shared" si="6"/>
        <v>984219845.20000005</v>
      </c>
      <c r="F11" s="130">
        <f t="shared" si="7"/>
        <v>395648407.18000007</v>
      </c>
      <c r="G11" s="130">
        <f t="shared" si="8"/>
        <v>395648407.18000007</v>
      </c>
      <c r="I11" s="107" t="s">
        <v>12</v>
      </c>
      <c r="J11" s="98" t="s">
        <v>99</v>
      </c>
      <c r="K11" s="131">
        <v>2.4027639999999999E-2</v>
      </c>
      <c r="L11" s="111">
        <f t="shared" si="0"/>
        <v>174413955.27146363</v>
      </c>
      <c r="M11" s="132"/>
      <c r="N11" s="107" t="s">
        <v>12</v>
      </c>
      <c r="O11" s="90" t="s">
        <v>99</v>
      </c>
      <c r="P11" s="133">
        <v>1.7233950000000001E-2</v>
      </c>
      <c r="Q11" s="92">
        <f t="shared" si="1"/>
        <v>12509931.830386344</v>
      </c>
      <c r="R11" s="133">
        <v>2.6253600000000002E-2</v>
      </c>
      <c r="S11" s="92">
        <f t="shared" si="2"/>
        <v>6860590.2111125486</v>
      </c>
      <c r="T11" s="133">
        <v>1.7499605864732745E-2</v>
      </c>
      <c r="U11" s="92">
        <f t="shared" si="3"/>
        <v>109751919.45690943</v>
      </c>
      <c r="V11" s="93">
        <f t="shared" si="4"/>
        <v>129122441.49840832</v>
      </c>
    </row>
    <row r="12" spans="1:22" x14ac:dyDescent="0.15">
      <c r="A12" s="129">
        <v>43344</v>
      </c>
      <c r="B12" s="111">
        <v>104161487.56</v>
      </c>
      <c r="C12" s="111">
        <v>77358169</v>
      </c>
      <c r="D12" s="82">
        <f t="shared" si="5"/>
        <v>1041614875.6</v>
      </c>
      <c r="E12" s="82">
        <f t="shared" si="6"/>
        <v>1031442253.3333334</v>
      </c>
      <c r="F12" s="130">
        <f t="shared" si="7"/>
        <v>414611425.78666669</v>
      </c>
      <c r="G12" s="130">
        <f t="shared" si="8"/>
        <v>414611425.78666669</v>
      </c>
      <c r="I12" s="107" t="s">
        <v>100</v>
      </c>
      <c r="J12" s="98" t="s">
        <v>101</v>
      </c>
      <c r="K12" s="131">
        <v>3.2162830000000003E-2</v>
      </c>
      <c r="L12" s="111">
        <f t="shared" si="0"/>
        <v>233466390.91578239</v>
      </c>
      <c r="M12" s="132"/>
      <c r="N12" s="107" t="s">
        <v>100</v>
      </c>
      <c r="O12" s="90" t="s">
        <v>101</v>
      </c>
      <c r="P12" s="133">
        <v>3.1021110000000001E-2</v>
      </c>
      <c r="Q12" s="92">
        <f t="shared" si="1"/>
        <v>22517877.294695418</v>
      </c>
      <c r="R12" s="133">
        <v>3.780522E-2</v>
      </c>
      <c r="S12" s="92">
        <f t="shared" si="2"/>
        <v>9879259.3115213271</v>
      </c>
      <c r="T12" s="133">
        <v>3.8562194545167752E-2</v>
      </c>
      <c r="U12" s="92">
        <f t="shared" si="3"/>
        <v>241849725.21765757</v>
      </c>
      <c r="V12" s="93">
        <f t="shared" si="4"/>
        <v>274246861.82387429</v>
      </c>
    </row>
    <row r="13" spans="1:22" x14ac:dyDescent="0.15">
      <c r="A13" s="129">
        <v>43374</v>
      </c>
      <c r="B13" s="111">
        <v>99765455.819999993</v>
      </c>
      <c r="C13" s="111">
        <v>74217657.219999999</v>
      </c>
      <c r="D13" s="82">
        <f t="shared" si="5"/>
        <v>997654558.20000005</v>
      </c>
      <c r="E13" s="82">
        <f t="shared" si="6"/>
        <v>989568762.93333328</v>
      </c>
      <c r="F13" s="130">
        <f t="shared" si="7"/>
        <v>397444664.22666669</v>
      </c>
      <c r="G13" s="130">
        <f t="shared" si="8"/>
        <v>397444664.22666669</v>
      </c>
      <c r="I13" s="107" t="s">
        <v>13</v>
      </c>
      <c r="J13" s="98" t="s">
        <v>102</v>
      </c>
      <c r="K13" s="131">
        <v>6.6224980000000003E-2</v>
      </c>
      <c r="L13" s="111">
        <f t="shared" si="0"/>
        <v>480719733.58904886</v>
      </c>
      <c r="M13" s="132"/>
      <c r="N13" s="107" t="s">
        <v>13</v>
      </c>
      <c r="O13" s="90" t="s">
        <v>102</v>
      </c>
      <c r="P13" s="133">
        <v>5.3856099999999997E-2</v>
      </c>
      <c r="Q13" s="92">
        <f t="shared" si="1"/>
        <v>39093541.506762519</v>
      </c>
      <c r="R13" s="133">
        <v>6.5633999999999998E-2</v>
      </c>
      <c r="S13" s="92">
        <f t="shared" si="2"/>
        <v>17151475.527781371</v>
      </c>
      <c r="T13" s="133">
        <v>4.3701718429765002E-2</v>
      </c>
      <c r="U13" s="92">
        <f t="shared" si="3"/>
        <v>274083171.83293051</v>
      </c>
      <c r="V13" s="93">
        <f t="shared" si="4"/>
        <v>330328188.86747438</v>
      </c>
    </row>
    <row r="14" spans="1:22" x14ac:dyDescent="0.15">
      <c r="A14" s="129">
        <v>43405</v>
      </c>
      <c r="B14" s="111">
        <v>120983592.6245317</v>
      </c>
      <c r="C14" s="111">
        <v>99015266.247601226</v>
      </c>
      <c r="D14" s="82">
        <f t="shared" si="5"/>
        <v>1209835926.245317</v>
      </c>
      <c r="E14" s="82">
        <f t="shared" si="6"/>
        <v>1320203549.9680164</v>
      </c>
      <c r="F14" s="130">
        <f t="shared" si="7"/>
        <v>506007895.24266666</v>
      </c>
      <c r="G14" s="130">
        <f t="shared" si="8"/>
        <v>506007895.24266666</v>
      </c>
      <c r="I14" s="107" t="s">
        <v>14</v>
      </c>
      <c r="J14" s="98" t="s">
        <v>103</v>
      </c>
      <c r="K14" s="131">
        <v>5.0069740000000001E-2</v>
      </c>
      <c r="L14" s="111">
        <f t="shared" si="0"/>
        <v>363450650.70118475</v>
      </c>
      <c r="M14" s="132"/>
      <c r="N14" s="107" t="s">
        <v>14</v>
      </c>
      <c r="O14" s="90" t="s">
        <v>103</v>
      </c>
      <c r="P14" s="133">
        <v>5.1701850000000001E-2</v>
      </c>
      <c r="Q14" s="92">
        <f t="shared" si="1"/>
        <v>37529795.491159029</v>
      </c>
      <c r="R14" s="133">
        <v>0.10081392</v>
      </c>
      <c r="S14" s="92">
        <f t="shared" si="2"/>
        <v>26344691.497390207</v>
      </c>
      <c r="T14" s="133">
        <v>0.13369068264228354</v>
      </c>
      <c r="U14" s="92">
        <f t="shared" si="3"/>
        <v>838465114.40954828</v>
      </c>
      <c r="V14" s="93">
        <f t="shared" si="4"/>
        <v>902339601.39809752</v>
      </c>
    </row>
    <row r="15" spans="1:22" x14ac:dyDescent="0.15">
      <c r="A15" s="129">
        <v>43435</v>
      </c>
      <c r="B15" s="111">
        <v>116055773.307</v>
      </c>
      <c r="C15" s="111">
        <v>86298201.829750001</v>
      </c>
      <c r="D15" s="82">
        <f t="shared" si="5"/>
        <v>1160557733.0699999</v>
      </c>
      <c r="E15" s="82">
        <f t="shared" si="6"/>
        <v>1150642691.0633333</v>
      </c>
      <c r="F15" s="130">
        <f t="shared" si="7"/>
        <v>462240084.82666665</v>
      </c>
      <c r="G15" s="130">
        <f t="shared" si="8"/>
        <v>462240084.82666665</v>
      </c>
      <c r="I15" s="107" t="s">
        <v>104</v>
      </c>
      <c r="J15" s="98" t="s">
        <v>105</v>
      </c>
      <c r="K15" s="131">
        <v>1.532879E-2</v>
      </c>
      <c r="L15" s="111">
        <f t="shared" si="0"/>
        <v>111269974.63861033</v>
      </c>
      <c r="M15" s="132"/>
      <c r="N15" s="107" t="s">
        <v>104</v>
      </c>
      <c r="O15" s="90" t="s">
        <v>105</v>
      </c>
      <c r="P15" s="133">
        <v>1.551056E-2</v>
      </c>
      <c r="Q15" s="92">
        <f t="shared" si="1"/>
        <v>11258942.276791867</v>
      </c>
      <c r="R15" s="133">
        <v>4.7256499999999996E-3</v>
      </c>
      <c r="S15" s="92">
        <f t="shared" si="2"/>
        <v>1234906.7606402175</v>
      </c>
      <c r="T15" s="133">
        <v>1.4188869620053578E-2</v>
      </c>
      <c r="U15" s="92">
        <f t="shared" si="3"/>
        <v>88988042.802899539</v>
      </c>
      <c r="V15" s="93">
        <f t="shared" si="4"/>
        <v>101481891.84033163</v>
      </c>
    </row>
    <row r="16" spans="1:22" x14ac:dyDescent="0.15">
      <c r="A16" s="108" t="s">
        <v>28</v>
      </c>
      <c r="B16" s="112">
        <f>SUM(B4:B15)</f>
        <v>1110196702.4215314</v>
      </c>
      <c r="C16" s="112">
        <f>SUM(C4:C15)</f>
        <v>833981081.00735116</v>
      </c>
      <c r="D16" s="112">
        <f t="shared" si="5"/>
        <v>11101967024.215313</v>
      </c>
      <c r="E16" s="112">
        <f t="shared" si="6"/>
        <v>11119747746.764683</v>
      </c>
      <c r="F16" s="134">
        <f>SUM(F4:F15)</f>
        <v>4444342954.1960001</v>
      </c>
      <c r="G16" s="134">
        <f>SUM(G4:G15)</f>
        <v>4444342954.1960001</v>
      </c>
      <c r="I16" s="107" t="s">
        <v>106</v>
      </c>
      <c r="J16" s="98" t="s">
        <v>107</v>
      </c>
      <c r="K16" s="131">
        <v>2.3178600000000001E-2</v>
      </c>
      <c r="L16" s="111">
        <f t="shared" si="0"/>
        <v>168250868.73513782</v>
      </c>
      <c r="M16" s="132"/>
      <c r="N16" s="107" t="s">
        <v>106</v>
      </c>
      <c r="O16" s="90" t="s">
        <v>107</v>
      </c>
      <c r="P16" s="133">
        <v>1.551056E-2</v>
      </c>
      <c r="Q16" s="92">
        <f t="shared" si="1"/>
        <v>11258942.276791867</v>
      </c>
      <c r="R16" s="133">
        <v>9.4512999999999993E-3</v>
      </c>
      <c r="S16" s="92">
        <f t="shared" si="2"/>
        <v>2469813.5212804349</v>
      </c>
      <c r="T16" s="133">
        <v>2.2260759892795141E-2</v>
      </c>
      <c r="U16" s="92">
        <f t="shared" si="3"/>
        <v>139612351.59743777</v>
      </c>
      <c r="V16" s="93">
        <f t="shared" si="4"/>
        <v>153341107.39551008</v>
      </c>
    </row>
    <row r="17" spans="1:22" x14ac:dyDescent="0.15">
      <c r="I17" s="107" t="s">
        <v>15</v>
      </c>
      <c r="J17" s="98" t="s">
        <v>108</v>
      </c>
      <c r="K17" s="131">
        <v>6.3656299999999999E-2</v>
      </c>
      <c r="L17" s="111">
        <f t="shared" si="0"/>
        <v>462073972.34796554</v>
      </c>
      <c r="M17" s="132"/>
      <c r="N17" s="107" t="s">
        <v>15</v>
      </c>
      <c r="O17" s="90" t="s">
        <v>108</v>
      </c>
      <c r="P17" s="133">
        <v>4.6531669999999997E-2</v>
      </c>
      <c r="Q17" s="92">
        <f t="shared" si="1"/>
        <v>33776819.571487285</v>
      </c>
      <c r="R17" s="133">
        <v>5.6707799999999989E-2</v>
      </c>
      <c r="S17" s="92">
        <f t="shared" si="2"/>
        <v>14818881.127682606</v>
      </c>
      <c r="T17" s="133">
        <v>3.9161280151347864E-2</v>
      </c>
      <c r="U17" s="92">
        <f t="shared" si="3"/>
        <v>245606998.13600266</v>
      </c>
      <c r="V17" s="93">
        <f t="shared" si="4"/>
        <v>294202698.83517253</v>
      </c>
    </row>
    <row r="18" spans="1:22" x14ac:dyDescent="0.15">
      <c r="A18" s="95"/>
      <c r="B18" s="324" t="s">
        <v>149</v>
      </c>
      <c r="C18" s="324"/>
      <c r="F18" s="135"/>
      <c r="G18" s="135"/>
      <c r="I18" s="107" t="s">
        <v>16</v>
      </c>
      <c r="J18" s="98" t="s">
        <v>109</v>
      </c>
      <c r="K18" s="131">
        <v>4.4207620000000003E-2</v>
      </c>
      <c r="L18" s="111">
        <f t="shared" si="0"/>
        <v>320898176.32267928</v>
      </c>
      <c r="M18" s="132"/>
      <c r="N18" s="107" t="s">
        <v>16</v>
      </c>
      <c r="O18" s="90" t="s">
        <v>109</v>
      </c>
      <c r="P18" s="133">
        <v>3.4467900000000003E-2</v>
      </c>
      <c r="Q18" s="92">
        <f t="shared" si="1"/>
        <v>25019863.660772689</v>
      </c>
      <c r="R18" s="133">
        <v>1.0501440000000001E-2</v>
      </c>
      <c r="S18" s="92">
        <f t="shared" si="2"/>
        <v>2744236.0844450193</v>
      </c>
      <c r="T18" s="133">
        <v>3.0458773451048266E-2</v>
      </c>
      <c r="U18" s="92">
        <f t="shared" si="3"/>
        <v>191027665.21689051</v>
      </c>
      <c r="V18" s="93">
        <f t="shared" si="4"/>
        <v>218791764.96210822</v>
      </c>
    </row>
    <row r="19" spans="1:22" x14ac:dyDescent="0.15">
      <c r="B19" s="98" t="s">
        <v>148</v>
      </c>
      <c r="C19" s="82">
        <f>29626793.28846*1000</f>
        <v>29626793288.460003</v>
      </c>
      <c r="E19" s="95"/>
      <c r="F19" s="95"/>
      <c r="G19" s="113"/>
      <c r="I19" s="107" t="s">
        <v>17</v>
      </c>
      <c r="J19" s="98" t="s">
        <v>110</v>
      </c>
      <c r="K19" s="131">
        <v>6.1813609999999998E-2</v>
      </c>
      <c r="L19" s="111">
        <f t="shared" si="0"/>
        <v>448698091.43585044</v>
      </c>
      <c r="M19" s="132"/>
      <c r="N19" s="107" t="s">
        <v>17</v>
      </c>
      <c r="O19" s="90" t="s">
        <v>110</v>
      </c>
      <c r="P19" s="133">
        <v>5.428695E-2</v>
      </c>
      <c r="Q19" s="92">
        <f t="shared" si="1"/>
        <v>39406290.70988322</v>
      </c>
      <c r="R19" s="133">
        <v>6.6159099999999985E-2</v>
      </c>
      <c r="S19" s="92">
        <f t="shared" si="2"/>
        <v>17288694.648963042</v>
      </c>
      <c r="T19" s="133">
        <v>4.3417941037363947E-2</v>
      </c>
      <c r="U19" s="92">
        <f t="shared" si="3"/>
        <v>272303410.97687256</v>
      </c>
      <c r="V19" s="93">
        <f t="shared" si="4"/>
        <v>328998396.33571881</v>
      </c>
    </row>
    <row r="20" spans="1:22" x14ac:dyDescent="0.15">
      <c r="B20" s="98" t="s">
        <v>126</v>
      </c>
      <c r="C20" s="82">
        <f>C19*0.095</f>
        <v>2814545362.4037004</v>
      </c>
      <c r="D20" s="136"/>
      <c r="E20" s="137"/>
      <c r="F20" s="137"/>
      <c r="G20" s="113"/>
      <c r="I20" s="107" t="s">
        <v>111</v>
      </c>
      <c r="J20" s="98" t="s">
        <v>112</v>
      </c>
      <c r="K20" s="131">
        <v>4.2926039999999999E-2</v>
      </c>
      <c r="L20" s="111">
        <f t="shared" si="0"/>
        <v>311595330.23389143</v>
      </c>
      <c r="M20" s="132"/>
      <c r="N20" s="107" t="s">
        <v>111</v>
      </c>
      <c r="O20" s="90" t="s">
        <v>112</v>
      </c>
      <c r="P20" s="133">
        <v>5.3856099999999997E-2</v>
      </c>
      <c r="Q20" s="92">
        <f t="shared" si="1"/>
        <v>39093541.506762519</v>
      </c>
      <c r="R20" s="133">
        <v>1.3126799999999999E-2</v>
      </c>
      <c r="S20" s="92">
        <f t="shared" si="2"/>
        <v>3430295.1055562738</v>
      </c>
      <c r="T20" s="133">
        <v>2.7526407062903845E-2</v>
      </c>
      <c r="U20" s="92">
        <f t="shared" si="3"/>
        <v>172636803.03762451</v>
      </c>
      <c r="V20" s="93">
        <f t="shared" si="4"/>
        <v>215160639.64994329</v>
      </c>
    </row>
    <row r="21" spans="1:22" x14ac:dyDescent="0.15">
      <c r="B21" s="98" t="s">
        <v>127</v>
      </c>
      <c r="C21" s="82">
        <f>C19*0.095</f>
        <v>2814545362.4037004</v>
      </c>
      <c r="D21" s="136"/>
      <c r="E21" s="137"/>
      <c r="F21" s="137"/>
      <c r="G21" s="113"/>
      <c r="I21" s="107" t="s">
        <v>18</v>
      </c>
      <c r="J21" s="98" t="s">
        <v>113</v>
      </c>
      <c r="K21" s="131">
        <v>2.446038E-2</v>
      </c>
      <c r="L21" s="111">
        <f t="shared" si="0"/>
        <v>177555166.60158899</v>
      </c>
      <c r="M21" s="132"/>
      <c r="N21" s="107" t="s">
        <v>18</v>
      </c>
      <c r="O21" s="90" t="s">
        <v>113</v>
      </c>
      <c r="P21" s="133">
        <v>3.1021110000000001E-2</v>
      </c>
      <c r="Q21" s="92">
        <f t="shared" si="1"/>
        <v>22517877.294695418</v>
      </c>
      <c r="R21" s="133">
        <v>4.2530849999999988E-2</v>
      </c>
      <c r="S21" s="92">
        <f t="shared" si="2"/>
        <v>11114160.845761953</v>
      </c>
      <c r="T21" s="133">
        <v>6.5457985180514058E-2</v>
      </c>
      <c r="U21" s="92">
        <f t="shared" si="3"/>
        <v>410531504.13071126</v>
      </c>
      <c r="V21" s="93">
        <f t="shared" si="4"/>
        <v>444163542.27116865</v>
      </c>
    </row>
    <row r="22" spans="1:22" x14ac:dyDescent="0.15">
      <c r="C22" s="138"/>
      <c r="D22" s="136"/>
      <c r="E22" s="139"/>
      <c r="F22" s="140"/>
      <c r="I22" s="107" t="s">
        <v>19</v>
      </c>
      <c r="J22" s="98" t="s">
        <v>114</v>
      </c>
      <c r="K22" s="131">
        <v>2.6822760000000001E-2</v>
      </c>
      <c r="L22" s="111">
        <f t="shared" si="0"/>
        <v>194703419.1829578</v>
      </c>
      <c r="M22" s="132"/>
      <c r="N22" s="107" t="s">
        <v>19</v>
      </c>
      <c r="O22" s="90" t="s">
        <v>114</v>
      </c>
      <c r="P22" s="141">
        <v>3.0159410000000001E-2</v>
      </c>
      <c r="Q22" s="142">
        <f t="shared" si="1"/>
        <v>21892378.88845402</v>
      </c>
      <c r="R22" s="133">
        <v>7.7185709999999991E-2</v>
      </c>
      <c r="S22" s="92">
        <f t="shared" si="2"/>
        <v>20170168.146988291</v>
      </c>
      <c r="T22" s="133">
        <v>3.0521835093804135E-2</v>
      </c>
      <c r="U22" s="92">
        <f t="shared" si="3"/>
        <v>191423167.62934831</v>
      </c>
      <c r="V22" s="93">
        <f t="shared" si="4"/>
        <v>233485714.66479063</v>
      </c>
    </row>
    <row r="23" spans="1:22" x14ac:dyDescent="0.15">
      <c r="C23" s="138"/>
      <c r="D23" s="143"/>
      <c r="E23" s="139"/>
      <c r="F23" s="140"/>
      <c r="I23" s="107" t="s">
        <v>24</v>
      </c>
      <c r="J23" s="98" t="s">
        <v>115</v>
      </c>
      <c r="K23" s="131">
        <v>3.6573660000000001E-2</v>
      </c>
      <c r="L23" s="111">
        <f t="shared" si="0"/>
        <v>265484113.26928982</v>
      </c>
      <c r="M23" s="132"/>
      <c r="N23" s="107" t="s">
        <v>24</v>
      </c>
      <c r="O23" s="90" t="s">
        <v>115</v>
      </c>
      <c r="P23" s="133">
        <v>3.1021110000000001E-2</v>
      </c>
      <c r="Q23" s="92">
        <f t="shared" si="1"/>
        <v>22517877.294695418</v>
      </c>
      <c r="R23" s="133">
        <v>1.8902599999999999E-2</v>
      </c>
      <c r="S23" s="92">
        <f t="shared" si="2"/>
        <v>4939627.0425608698</v>
      </c>
      <c r="T23" s="133">
        <v>2.3080561248620447E-2</v>
      </c>
      <c r="U23" s="92">
        <f t="shared" si="3"/>
        <v>144753882.95938301</v>
      </c>
      <c r="V23" s="93">
        <f t="shared" si="4"/>
        <v>172211387.29663929</v>
      </c>
    </row>
    <row r="24" spans="1:22" x14ac:dyDescent="0.15">
      <c r="C24" s="115"/>
      <c r="D24" s="143"/>
      <c r="E24" s="139"/>
      <c r="F24" s="140"/>
      <c r="I24" s="107" t="s">
        <v>116</v>
      </c>
      <c r="J24" s="98" t="s">
        <v>117</v>
      </c>
      <c r="K24" s="131">
        <v>3.41517E-2</v>
      </c>
      <c r="L24" s="111">
        <f t="shared" si="0"/>
        <v>247903376.12201801</v>
      </c>
      <c r="M24" s="132"/>
      <c r="N24" s="107" t="s">
        <v>116</v>
      </c>
      <c r="O24" s="90" t="s">
        <v>117</v>
      </c>
      <c r="P24" s="133">
        <v>2.4127530000000001E-2</v>
      </c>
      <c r="Q24" s="92">
        <f t="shared" si="1"/>
        <v>17513904.562540881</v>
      </c>
      <c r="R24" s="133">
        <v>0</v>
      </c>
      <c r="S24" s="92">
        <f t="shared" si="2"/>
        <v>0</v>
      </c>
      <c r="T24" s="133">
        <v>9.8376162699038133E-3</v>
      </c>
      <c r="U24" s="92">
        <f t="shared" si="3"/>
        <v>61698376.343343675</v>
      </c>
      <c r="V24" s="93">
        <f t="shared" si="4"/>
        <v>79212280.905884564</v>
      </c>
    </row>
    <row r="25" spans="1:22" x14ac:dyDescent="0.15">
      <c r="A25" s="139"/>
      <c r="B25" s="144" t="s">
        <v>150</v>
      </c>
      <c r="C25" s="144"/>
      <c r="E25" s="139"/>
      <c r="F25" s="140"/>
      <c r="I25" s="107" t="s">
        <v>118</v>
      </c>
      <c r="J25" s="98" t="s">
        <v>119</v>
      </c>
      <c r="K25" s="131">
        <v>2.4394430000000002E-2</v>
      </c>
      <c r="L25" s="111">
        <f t="shared" si="0"/>
        <v>177076442.91710925</v>
      </c>
      <c r="M25" s="132"/>
      <c r="N25" s="107" t="s">
        <v>118</v>
      </c>
      <c r="O25" s="90" t="s">
        <v>119</v>
      </c>
      <c r="P25" s="133">
        <v>4.3084879999999999E-2</v>
      </c>
      <c r="Q25" s="92">
        <f t="shared" si="1"/>
        <v>31274833.205410015</v>
      </c>
      <c r="R25" s="133">
        <v>0</v>
      </c>
      <c r="S25" s="92">
        <f t="shared" si="2"/>
        <v>0</v>
      </c>
      <c r="T25" s="133">
        <v>1.8918492826738101E-3</v>
      </c>
      <c r="U25" s="92">
        <f t="shared" si="3"/>
        <v>11865072.373719936</v>
      </c>
      <c r="V25" s="93">
        <f t="shared" si="4"/>
        <v>43139905.579129949</v>
      </c>
    </row>
    <row r="26" spans="1:22" x14ac:dyDescent="0.15">
      <c r="A26" s="145"/>
      <c r="B26" s="83" t="s">
        <v>164</v>
      </c>
      <c r="C26" s="82">
        <f>G16+C21</f>
        <v>7258888316.5997009</v>
      </c>
      <c r="E26" s="139"/>
      <c r="F26" s="140"/>
      <c r="I26" s="107" t="s">
        <v>20</v>
      </c>
      <c r="J26" s="98" t="s">
        <v>120</v>
      </c>
      <c r="K26" s="131">
        <v>1.3718620000000001E-2</v>
      </c>
      <c r="L26" s="111">
        <f t="shared" si="0"/>
        <v>99581930.437870994</v>
      </c>
      <c r="M26" s="132"/>
      <c r="N26" s="107" t="s">
        <v>20</v>
      </c>
      <c r="O26" s="90" t="s">
        <v>120</v>
      </c>
      <c r="P26" s="133">
        <v>2.7143469999999999E-2</v>
      </c>
      <c r="Q26" s="92">
        <f t="shared" si="1"/>
        <v>19703141.725497451</v>
      </c>
      <c r="R26" s="133">
        <v>5.1982149999999984E-2</v>
      </c>
      <c r="S26" s="92">
        <f t="shared" si="2"/>
        <v>13583974.367042387</v>
      </c>
      <c r="T26" s="133">
        <v>7.52640706290401E-2</v>
      </c>
      <c r="U26" s="92">
        <f t="shared" si="3"/>
        <v>472032129.26782703</v>
      </c>
      <c r="V26" s="93">
        <f t="shared" si="4"/>
        <v>505319245.36036688</v>
      </c>
    </row>
    <row r="27" spans="1:22" x14ac:dyDescent="0.15">
      <c r="A27" s="145"/>
      <c r="B27" s="83" t="s">
        <v>135</v>
      </c>
      <c r="C27" s="82">
        <f>$C$26*0.1</f>
        <v>725888831.65997016</v>
      </c>
      <c r="E27" s="139"/>
      <c r="F27" s="140"/>
      <c r="I27" s="107" t="s">
        <v>21</v>
      </c>
      <c r="J27" s="98" t="s">
        <v>121</v>
      </c>
      <c r="K27" s="131">
        <v>1.45557E-2</v>
      </c>
      <c r="L27" s="111">
        <f t="shared" si="0"/>
        <v>105658200.66993026</v>
      </c>
      <c r="M27" s="132"/>
      <c r="N27" s="107" t="s">
        <v>21</v>
      </c>
      <c r="O27" s="90" t="s">
        <v>121</v>
      </c>
      <c r="P27" s="133">
        <v>1.378716E-2</v>
      </c>
      <c r="Q27" s="92">
        <f t="shared" si="1"/>
        <v>10007945.464309074</v>
      </c>
      <c r="R27" s="133">
        <v>3.780522E-2</v>
      </c>
      <c r="S27" s="92">
        <f t="shared" si="2"/>
        <v>9879259.3115213271</v>
      </c>
      <c r="T27" s="133">
        <v>4.7012454674444183E-2</v>
      </c>
      <c r="U27" s="92">
        <f t="shared" si="3"/>
        <v>294847048.48694044</v>
      </c>
      <c r="V27" s="93">
        <f t="shared" si="4"/>
        <v>314734253.26277083</v>
      </c>
    </row>
    <row r="28" spans="1:22" x14ac:dyDescent="0.15">
      <c r="A28" s="145"/>
      <c r="B28" s="83" t="s">
        <v>151</v>
      </c>
      <c r="C28" s="82">
        <f>$C$26*0.036</f>
        <v>261319979.39758921</v>
      </c>
      <c r="E28" s="139"/>
      <c r="F28" s="140"/>
      <c r="I28" s="107" t="s">
        <v>25</v>
      </c>
      <c r="J28" s="98" t="s">
        <v>122</v>
      </c>
      <c r="K28" s="131">
        <v>3.5543819999999997E-2</v>
      </c>
      <c r="L28" s="111">
        <f t="shared" si="0"/>
        <v>258008619.72532275</v>
      </c>
      <c r="M28" s="132"/>
      <c r="N28" s="107" t="s">
        <v>25</v>
      </c>
      <c r="O28" s="90" t="s">
        <v>122</v>
      </c>
      <c r="P28" s="133">
        <v>3.1021110000000001E-2</v>
      </c>
      <c r="Q28" s="92">
        <f t="shared" si="1"/>
        <v>22517877.294695418</v>
      </c>
      <c r="R28" s="133">
        <v>9.4512999999999993E-3</v>
      </c>
      <c r="S28" s="92">
        <f t="shared" si="2"/>
        <v>2469813.5212804349</v>
      </c>
      <c r="T28" s="133">
        <v>1.3085290871827186E-2</v>
      </c>
      <c r="U28" s="92">
        <f t="shared" si="3"/>
        <v>82066750.584896237</v>
      </c>
      <c r="V28" s="93">
        <f t="shared" si="4"/>
        <v>107054441.40087208</v>
      </c>
    </row>
    <row r="29" spans="1:22" x14ac:dyDescent="0.15">
      <c r="A29" s="145"/>
      <c r="B29" s="83" t="s">
        <v>137</v>
      </c>
      <c r="C29" s="82">
        <f>$C$26*0.864</f>
        <v>6271679505.5421419</v>
      </c>
      <c r="E29" s="139"/>
      <c r="F29" s="140"/>
      <c r="I29" s="107" t="s">
        <v>22</v>
      </c>
      <c r="J29" s="98" t="s">
        <v>123</v>
      </c>
      <c r="K29" s="131">
        <v>6.5158799999999999E-3</v>
      </c>
      <c r="L29" s="111">
        <f t="shared" si="0"/>
        <v>47298045.204365656</v>
      </c>
      <c r="M29" s="132"/>
      <c r="N29" s="107" t="s">
        <v>22</v>
      </c>
      <c r="O29" s="90" t="s">
        <v>123</v>
      </c>
      <c r="P29" s="133">
        <v>3.0159410000000001E-2</v>
      </c>
      <c r="Q29" s="92">
        <f t="shared" si="1"/>
        <v>21892378.88845402</v>
      </c>
      <c r="R29" s="133">
        <v>0.19663976999999974</v>
      </c>
      <c r="S29" s="92">
        <f t="shared" si="2"/>
        <v>51385900.645146616</v>
      </c>
      <c r="T29" s="133">
        <v>0.14207788112880371</v>
      </c>
      <c r="U29" s="92">
        <f t="shared" si="3"/>
        <v>891066935.26637089</v>
      </c>
      <c r="V29" s="93">
        <f t="shared" si="4"/>
        <v>964345214.79997158</v>
      </c>
    </row>
    <row r="30" spans="1:22" x14ac:dyDescent="0.15">
      <c r="E30" s="139"/>
      <c r="F30" s="140"/>
      <c r="I30" s="107" t="s">
        <v>124</v>
      </c>
      <c r="J30" s="98" t="s">
        <v>125</v>
      </c>
      <c r="K30" s="131">
        <v>3.5999969999999999E-2</v>
      </c>
      <c r="L30" s="111">
        <f t="shared" si="0"/>
        <v>261319761.63093972</v>
      </c>
      <c r="M30" s="132"/>
      <c r="N30" s="107" t="s">
        <v>124</v>
      </c>
      <c r="O30" s="90" t="s">
        <v>125</v>
      </c>
      <c r="P30" s="133">
        <v>2.7574319999999999E-2</v>
      </c>
      <c r="Q30" s="92">
        <f t="shared" si="1"/>
        <v>20015890.928618148</v>
      </c>
      <c r="R30" s="133">
        <v>8.4007700000000001E-3</v>
      </c>
      <c r="S30" s="92">
        <f t="shared" si="2"/>
        <v>2195289.0433238856</v>
      </c>
      <c r="T30" s="133">
        <v>1.5828472331704185E-2</v>
      </c>
      <c r="U30" s="92">
        <f t="shared" si="3"/>
        <v>99271105.526789978</v>
      </c>
      <c r="V30" s="93">
        <f t="shared" si="4"/>
        <v>121482285.49873202</v>
      </c>
    </row>
    <row r="31" spans="1:22" x14ac:dyDescent="0.15">
      <c r="C31" s="138"/>
      <c r="D31" s="136"/>
      <c r="E31" s="139"/>
      <c r="F31" s="140"/>
      <c r="I31" s="309" t="s">
        <v>28</v>
      </c>
      <c r="J31" s="334"/>
      <c r="K31" s="146">
        <f t="shared" ref="K31" si="9">SUM(K4:K30)</f>
        <v>0.99999999999999989</v>
      </c>
      <c r="L31" s="111">
        <f>SUM(L4:L30)</f>
        <v>7258888316.5997009</v>
      </c>
      <c r="M31" s="147"/>
      <c r="N31" s="324" t="s">
        <v>28</v>
      </c>
      <c r="O31" s="324"/>
      <c r="P31" s="236">
        <f t="shared" ref="P31:V31" si="10">SUM(P4:P30)</f>
        <v>0.99999999999999989</v>
      </c>
      <c r="Q31" s="100">
        <f t="shared" si="10"/>
        <v>725888831.65997005</v>
      </c>
      <c r="R31" s="237">
        <f t="shared" si="10"/>
        <v>0.99999999999999967</v>
      </c>
      <c r="S31" s="100">
        <f t="shared" si="10"/>
        <v>261319979.39758915</v>
      </c>
      <c r="T31" s="236">
        <f t="shared" si="10"/>
        <v>0.99999999999999978</v>
      </c>
      <c r="U31" s="100">
        <f t="shared" si="10"/>
        <v>6271679505.542141</v>
      </c>
      <c r="V31" s="101">
        <f t="shared" si="10"/>
        <v>7258888316.5997019</v>
      </c>
    </row>
    <row r="32" spans="1:22" x14ac:dyDescent="0.15">
      <c r="C32" s="138"/>
      <c r="D32" s="136"/>
      <c r="E32" s="139"/>
      <c r="F32" s="140"/>
    </row>
    <row r="33" spans="3:11" x14ac:dyDescent="0.15">
      <c r="C33" s="138"/>
      <c r="D33" s="136"/>
      <c r="E33" s="139"/>
      <c r="F33" s="140"/>
      <c r="K33" s="140"/>
    </row>
    <row r="34" spans="3:11" x14ac:dyDescent="0.15">
      <c r="C34" s="138"/>
      <c r="D34" s="136"/>
      <c r="E34" s="139"/>
      <c r="F34" s="140"/>
      <c r="K34" s="140"/>
    </row>
    <row r="35" spans="3:11" x14ac:dyDescent="0.15">
      <c r="C35" s="138"/>
      <c r="D35" s="136"/>
    </row>
    <row r="36" spans="3:11" x14ac:dyDescent="0.15">
      <c r="C36" s="138"/>
      <c r="D36" s="147"/>
    </row>
    <row r="37" spans="3:11" x14ac:dyDescent="0.15">
      <c r="C37" s="138"/>
      <c r="D37" s="138"/>
    </row>
  </sheetData>
  <mergeCells count="18">
    <mergeCell ref="I1:L1"/>
    <mergeCell ref="I3:J3"/>
    <mergeCell ref="I31:J31"/>
    <mergeCell ref="P2:Q2"/>
    <mergeCell ref="P1:V1"/>
    <mergeCell ref="R2:S2"/>
    <mergeCell ref="T2:U2"/>
    <mergeCell ref="V2:V3"/>
    <mergeCell ref="I2:J2"/>
    <mergeCell ref="K2:L2"/>
    <mergeCell ref="N2:O3"/>
    <mergeCell ref="N31:O31"/>
    <mergeCell ref="B18:C18"/>
    <mergeCell ref="A1:G1"/>
    <mergeCell ref="A2:A3"/>
    <mergeCell ref="B2:C2"/>
    <mergeCell ref="D2:E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62"/>
  <sheetViews>
    <sheetView workbookViewId="0">
      <selection activeCell="E31" sqref="E31"/>
    </sheetView>
  </sheetViews>
  <sheetFormatPr defaultRowHeight="15" x14ac:dyDescent="0.25"/>
  <cols>
    <col min="1" max="1" width="9.140625" style="16"/>
    <col min="2" max="2" width="26.140625" style="16" bestFit="1" customWidth="1"/>
    <col min="3" max="3" width="19.7109375" style="16" bestFit="1" customWidth="1"/>
    <col min="4" max="4" width="32.28515625" style="16" bestFit="1" customWidth="1"/>
    <col min="5" max="5" width="19.7109375" style="16" bestFit="1" customWidth="1"/>
    <col min="6" max="7" width="9.140625" style="16"/>
    <col min="8" max="8" width="3.5703125" bestFit="1" customWidth="1"/>
    <col min="9" max="9" width="18" bestFit="1" customWidth="1"/>
    <col min="10" max="10" width="14" bestFit="1" customWidth="1"/>
    <col min="11" max="11" width="20.140625" bestFit="1" customWidth="1"/>
    <col min="12" max="12" width="22" bestFit="1" customWidth="1"/>
    <col min="15" max="15" width="18" bestFit="1" customWidth="1"/>
    <col min="16" max="16" width="12.140625" bestFit="1" customWidth="1"/>
    <col min="17" max="17" width="20.140625" style="16" bestFit="1" customWidth="1"/>
    <col min="18" max="18" width="11.28515625" style="16" bestFit="1" customWidth="1"/>
    <col min="19" max="19" width="20.140625" style="16" customWidth="1"/>
    <col min="20" max="20" width="11.28515625" style="16" bestFit="1" customWidth="1"/>
    <col min="21" max="22" width="22" style="16" bestFit="1" customWidth="1"/>
  </cols>
  <sheetData>
    <row r="1" spans="2:22" s="16" customFormat="1" x14ac:dyDescent="0.25">
      <c r="N1" s="324" t="s">
        <v>222</v>
      </c>
      <c r="O1" s="324"/>
      <c r="P1" s="324"/>
      <c r="Q1" s="324"/>
      <c r="R1" s="324"/>
      <c r="S1" s="324"/>
      <c r="T1" s="324"/>
      <c r="U1" s="324"/>
      <c r="V1" s="324"/>
    </row>
    <row r="2" spans="2:22" x14ac:dyDescent="0.25">
      <c r="H2" s="338" t="s">
        <v>26</v>
      </c>
      <c r="I2" s="338"/>
      <c r="J2" s="338"/>
      <c r="K2" s="338"/>
      <c r="L2" s="338"/>
      <c r="N2" s="285" t="s">
        <v>26</v>
      </c>
      <c r="O2" s="285"/>
      <c r="P2" s="324" t="s">
        <v>130</v>
      </c>
      <c r="Q2" s="324"/>
      <c r="R2" s="324" t="s">
        <v>131</v>
      </c>
      <c r="S2" s="324"/>
      <c r="T2" s="324" t="s">
        <v>132</v>
      </c>
      <c r="U2" s="324"/>
      <c r="V2" s="285" t="s">
        <v>220</v>
      </c>
    </row>
    <row r="3" spans="2:22" x14ac:dyDescent="0.25">
      <c r="B3" s="324" t="s">
        <v>211</v>
      </c>
      <c r="C3" s="324"/>
      <c r="D3" s="324" t="s">
        <v>166</v>
      </c>
      <c r="E3" s="324"/>
      <c r="H3" s="285" t="s">
        <v>26</v>
      </c>
      <c r="I3" s="285"/>
      <c r="J3" s="102" t="s">
        <v>219</v>
      </c>
      <c r="K3" s="102" t="s">
        <v>211</v>
      </c>
      <c r="L3" s="102" t="s">
        <v>166</v>
      </c>
      <c r="N3" s="285"/>
      <c r="O3" s="285"/>
      <c r="P3" s="106" t="s">
        <v>128</v>
      </c>
      <c r="Q3" s="102" t="s">
        <v>129</v>
      </c>
      <c r="R3" s="106" t="s">
        <v>128</v>
      </c>
      <c r="S3" s="102" t="s">
        <v>129</v>
      </c>
      <c r="T3" s="106" t="s">
        <v>128</v>
      </c>
      <c r="U3" s="102" t="s">
        <v>129</v>
      </c>
      <c r="V3" s="285"/>
    </row>
    <row r="4" spans="2:22" x14ac:dyDescent="0.25">
      <c r="B4" s="324" t="s">
        <v>29</v>
      </c>
      <c r="C4" s="324"/>
      <c r="D4" s="324"/>
      <c r="E4" s="324"/>
      <c r="H4" s="87" t="s">
        <v>90</v>
      </c>
      <c r="I4" s="98" t="s">
        <v>91</v>
      </c>
      <c r="J4" s="91">
        <f ca="1">VLOOKUP(I4,FPE_FPM_9478!$B$4:$D$30,2,FALSE)</f>
        <v>3.9578670000000003E-2</v>
      </c>
      <c r="K4" s="92">
        <f ca="1">VLOOKUP(I4,FPE_FPM_9478!$B$4:$D$30,3,FALSE)</f>
        <v>15389594.182015995</v>
      </c>
      <c r="L4" s="92">
        <f>VLOOKUP(I4,FPE_FPM_ACORDO!$J$4:$L$30,3,FALSE)</f>
        <v>287297145.24955511</v>
      </c>
      <c r="N4" s="87" t="s">
        <v>90</v>
      </c>
      <c r="O4" s="98" t="s">
        <v>91</v>
      </c>
      <c r="P4" s="91">
        <f ca="1">VLOOKUP(O4,FPE_FPM_9478!$B$4:$J$30,4, FALSE)</f>
        <v>3.1021110000000001E-2</v>
      </c>
      <c r="Q4" s="92">
        <f ca="1">VLOOKUP(O4,FPE_FPM_9478!$B$4:$J$30,5, FALSE)</f>
        <v>4824844.23024501</v>
      </c>
      <c r="R4" s="91">
        <f ca="1">VLOOKUP(O4,FPE_FPM_9478!$B$4:$J$30,6, FALSE)</f>
        <v>0</v>
      </c>
      <c r="S4" s="92">
        <f ca="1">VLOOKUP(O4,FPE_FPM_9478!$B$4:$J$30,7, FALSE)</f>
        <v>0</v>
      </c>
      <c r="T4" s="91">
        <f ca="1">VLOOKUP(O4,FPE_FPM_9478!$B$4:$J$30,8, FALSE)</f>
        <v>3.8782910294813109E-3</v>
      </c>
      <c r="U4" s="92">
        <f ca="1">VLOOKUP(O4,FPE_FPM_9478!$B$4:$J$30,9, FALSE)</f>
        <v>5211708.3120618677</v>
      </c>
      <c r="V4" s="104">
        <f ca="1">U4+S4+Q4</f>
        <v>10036552.542306878</v>
      </c>
    </row>
    <row r="5" spans="2:22" x14ac:dyDescent="0.25">
      <c r="B5" s="80" t="s">
        <v>215</v>
      </c>
      <c r="C5" s="86">
        <f ca="1">FPE_FPM_9478!B38</f>
        <v>1944177783.38888</v>
      </c>
      <c r="D5" s="80" t="s">
        <v>213</v>
      </c>
      <c r="E5" s="84">
        <f>FPE_FPM_ACORDO!F16</f>
        <v>4444342954.1960001</v>
      </c>
      <c r="H5" s="87" t="s">
        <v>4</v>
      </c>
      <c r="I5" s="98" t="s">
        <v>92</v>
      </c>
      <c r="J5" s="91">
        <f ca="1">VLOOKUP(I5,FPE_FPM_9478!$B$4:$D$30,2,FALSE)</f>
        <v>4.7438639999999997E-2</v>
      </c>
      <c r="K5" s="92">
        <f ca="1">VLOOKUP(I5,FPE_FPM_9478!$B$4:$D$30,3,FALSE)</f>
        <v>18445829.992436614</v>
      </c>
      <c r="L5" s="92">
        <f>VLOOKUP(I5,FPE_FPM_ACORDO!$J$4:$L$30,3,FALSE)</f>
        <v>344351789.65137923</v>
      </c>
      <c r="N5" s="87" t="s">
        <v>4</v>
      </c>
      <c r="O5" s="98" t="s">
        <v>92</v>
      </c>
      <c r="P5" s="91">
        <f ca="1">VLOOKUP(O5,FPE_FPM_9478!$B$4:$J$30,4, FALSE)</f>
        <v>4.3084879999999999E-2</v>
      </c>
      <c r="Q5" s="92">
        <f ca="1">VLOOKUP(O5,FPE_FPM_9478!$B$4:$J$30,5, FALSE)</f>
        <v>6701173.3196780719</v>
      </c>
      <c r="R5" s="91">
        <f ca="1">VLOOKUP(O5,FPE_FPM_9478!$B$4:$J$30,6, FALSE)</f>
        <v>1.0501440000000001E-2</v>
      </c>
      <c r="S5" s="92">
        <f ca="1">VLOOKUP(O5,FPE_FPM_9478!$B$4:$J$30,7, FALSE)</f>
        <v>587999.99063783011</v>
      </c>
      <c r="T5" s="91">
        <f ca="1">VLOOKUP(O5,FPE_FPM_9478!$B$4:$J$30,8, FALSE)</f>
        <v>1.8666246255714922E-2</v>
      </c>
      <c r="U5" s="92">
        <f ca="1">VLOOKUP(O5,FPE_FPM_9478!$B$4:$J$30,9, FALSE)</f>
        <v>25083994.477566056</v>
      </c>
      <c r="V5" s="104">
        <f t="shared" ref="V5:V30" ca="1" si="0">U5+S5+Q5</f>
        <v>32373167.787881959</v>
      </c>
    </row>
    <row r="6" spans="2:22" x14ac:dyDescent="0.25">
      <c r="B6" s="309" t="s">
        <v>174</v>
      </c>
      <c r="C6" s="334"/>
      <c r="D6" s="80" t="s">
        <v>212</v>
      </c>
      <c r="E6" s="84">
        <f>FPE_FPM_ACORDO!G16</f>
        <v>4444342954.1960001</v>
      </c>
      <c r="H6" s="87" t="s">
        <v>8</v>
      </c>
      <c r="I6" s="98" t="s">
        <v>93</v>
      </c>
      <c r="J6" s="91">
        <f ca="1">VLOOKUP(I6,FPE_FPM_9478!$B$4:$D$30,2,FALSE)</f>
        <v>4.6228980000000003E-2</v>
      </c>
      <c r="K6" s="92">
        <f ca="1">VLOOKUP(I6,FPE_FPM_9478!$B$4:$D$30,3,FALSE)</f>
        <v>17975471.172945775</v>
      </c>
      <c r="L6" s="92">
        <f>VLOOKUP(I6,FPE_FPM_ACORDO!$J$4:$L$30,3,FALSE)</f>
        <v>335571002.81032127</v>
      </c>
      <c r="N6" s="87" t="s">
        <v>8</v>
      </c>
      <c r="O6" s="98" t="s">
        <v>93</v>
      </c>
      <c r="P6" s="91">
        <f ca="1">VLOOKUP(O6,FPE_FPM_9478!$B$4:$J$30,4, FALSE)</f>
        <v>5.428695E-2</v>
      </c>
      <c r="Q6" s="92">
        <f ca="1">VLOOKUP(O6,FPE_FPM_9478!$B$4:$J$30,5, FALSE)</f>
        <v>8443478.5694354381</v>
      </c>
      <c r="R6" s="91">
        <f ca="1">VLOOKUP(O6,FPE_FPM_9478!$B$4:$J$30,6, FALSE)</f>
        <v>0</v>
      </c>
      <c r="S6" s="92">
        <f ca="1">VLOOKUP(O6,FPE_FPM_9478!$B$4:$J$30,7, FALSE)</f>
        <v>0</v>
      </c>
      <c r="T6" s="91">
        <f ca="1">VLOOKUP(O6,FPE_FPM_9478!$B$4:$J$30,8, FALSE)</f>
        <v>1.4157338798675685E-2</v>
      </c>
      <c r="U6" s="92">
        <f ca="1">VLOOKUP(O6,FPE_FPM_9478!$B$4:$J$30,9, FALSE)</f>
        <v>19024853.919640485</v>
      </c>
      <c r="V6" s="104">
        <f t="shared" ca="1" si="0"/>
        <v>27468332.489075921</v>
      </c>
    </row>
    <row r="7" spans="2:22" x14ac:dyDescent="0.25">
      <c r="B7" s="324" t="s">
        <v>145</v>
      </c>
      <c r="C7" s="324"/>
      <c r="D7" s="324"/>
      <c r="E7" s="324"/>
      <c r="H7" s="87" t="s">
        <v>9</v>
      </c>
      <c r="I7" s="98" t="s">
        <v>94</v>
      </c>
      <c r="J7" s="91">
        <f ca="1">VLOOKUP(I7,FPE_FPM_9478!$B$4:$D$30,2,FALSE)</f>
        <v>3.545446E-2</v>
      </c>
      <c r="K7" s="92">
        <f ca="1">VLOOKUP(I7,FPE_FPM_9478!$B$4:$D$30,3,FALSE)</f>
        <v>13785954.690809943</v>
      </c>
      <c r="L7" s="92">
        <f>VLOOKUP(I7,FPE_FPM_ACORDO!$J$4:$L$30,3,FALSE)</f>
        <v>257359965.46535143</v>
      </c>
      <c r="N7" s="87" t="s">
        <v>9</v>
      </c>
      <c r="O7" s="98" t="s">
        <v>94</v>
      </c>
      <c r="P7" s="91">
        <f ca="1">VLOOKUP(O7,FPE_FPM_9478!$B$4:$J$30,4, FALSE)</f>
        <v>2.7574319999999999E-2</v>
      </c>
      <c r="Q7" s="92">
        <f ca="1">VLOOKUP(O7,FPE_FPM_9478!$B$4:$J$30,5, FALSE)</f>
        <v>4288750.4268844537</v>
      </c>
      <c r="R7" s="91">
        <f ca="1">VLOOKUP(O7,FPE_FPM_9478!$B$4:$J$30,6, FALSE)</f>
        <v>0</v>
      </c>
      <c r="S7" s="92">
        <f ca="1">VLOOKUP(O7,FPE_FPM_9478!$B$4:$J$30,7, FALSE)</f>
        <v>0</v>
      </c>
      <c r="T7" s="91">
        <f ca="1">VLOOKUP(O7,FPE_FPM_9478!$B$4:$J$30,8, FALSE)</f>
        <v>2.6170581743654381E-3</v>
      </c>
      <c r="U7" s="92">
        <f ca="1">VLOOKUP(O7,FPE_FPM_9478!$B$4:$J$30,9, FALSE)</f>
        <v>3516843.8203344322</v>
      </c>
      <c r="V7" s="104">
        <f t="shared" ca="1" si="0"/>
        <v>7805594.2472188864</v>
      </c>
    </row>
    <row r="8" spans="2:22" x14ac:dyDescent="0.25">
      <c r="B8" s="309" t="s">
        <v>174</v>
      </c>
      <c r="C8" s="334"/>
      <c r="D8" s="80" t="s">
        <v>213</v>
      </c>
      <c r="E8" s="84">
        <f>FPE_FPM_ACORDO!C20</f>
        <v>2814545362.4037004</v>
      </c>
      <c r="H8" s="87" t="s">
        <v>10</v>
      </c>
      <c r="I8" s="98" t="s">
        <v>95</v>
      </c>
      <c r="J8" s="91">
        <f ca="1">VLOOKUP(I8,FPE_FPM_9478!$B$4:$D$30,2,FALSE)</f>
        <v>8.4059040000000002E-2</v>
      </c>
      <c r="K8" s="92">
        <f ca="1">VLOOKUP(I8,FPE_FPM_9478!$B$4:$D$30,3,FALSE)</f>
        <v>32685143.612199444</v>
      </c>
      <c r="L8" s="92">
        <f>VLOOKUP(I8,FPE_FPM_ACORDO!$J$4:$L$30,3,FALSE)</f>
        <v>610175183.36058688</v>
      </c>
      <c r="N8" s="87" t="s">
        <v>10</v>
      </c>
      <c r="O8" s="98" t="s">
        <v>95</v>
      </c>
      <c r="P8" s="91">
        <f ca="1">VLOOKUP(O8,FPE_FPM_9478!$B$4:$J$30,4, FALSE)</f>
        <v>7.7552780000000002E-2</v>
      </c>
      <c r="Q8" s="92">
        <f ca="1">VLOOKUP(O8,FPE_FPM_9478!$B$4:$J$30,5, FALSE)</f>
        <v>12062111.35328364</v>
      </c>
      <c r="R8" s="91">
        <f ca="1">VLOOKUP(O8,FPE_FPM_9478!$B$4:$J$30,6, FALSE)</f>
        <v>0.11341559999999996</v>
      </c>
      <c r="S8" s="92">
        <f ca="1">VLOOKUP(O8,FPE_FPM_9478!$B$4:$J$30,7, FALSE)</f>
        <v>6350402.5865199305</v>
      </c>
      <c r="T8" s="91">
        <f ca="1">VLOOKUP(O8,FPE_FPM_9478!$B$4:$J$30,8, FALSE)</f>
        <v>8.4250354721740445E-2</v>
      </c>
      <c r="U8" s="92">
        <f ca="1">VLOOKUP(O8,FPE_FPM_9478!$B$4:$J$30,9, FALSE)</f>
        <v>113216948.0473929</v>
      </c>
      <c r="V8" s="104">
        <f t="shared" ca="1" si="0"/>
        <v>131629461.98719648</v>
      </c>
    </row>
    <row r="9" spans="2:22" x14ac:dyDescent="0.25">
      <c r="B9" s="309" t="s">
        <v>174</v>
      </c>
      <c r="C9" s="334"/>
      <c r="D9" s="80" t="s">
        <v>212</v>
      </c>
      <c r="E9" s="84">
        <f>FPE_FPM_ACORDO!C21</f>
        <v>2814545362.4037004</v>
      </c>
      <c r="H9" s="87" t="s">
        <v>11</v>
      </c>
      <c r="I9" s="98" t="s">
        <v>96</v>
      </c>
      <c r="J9" s="91">
        <f ca="1">VLOOKUP(I9,FPE_FPM_9478!$B$4:$D$30,2,FALSE)</f>
        <v>6.4391260000000006E-2</v>
      </c>
      <c r="K9" s="92">
        <f ca="1">VLOOKUP(I9,FPE_FPM_9478!$B$4:$D$30,3,FALSE)</f>
        <v>25037611.427283414</v>
      </c>
      <c r="L9" s="92">
        <f>VLOOKUP(I9,FPE_FPM_ACORDO!$J$4:$L$30,3,FALSE)</f>
        <v>467408964.90513372</v>
      </c>
      <c r="N9" s="87" t="s">
        <v>11</v>
      </c>
      <c r="O9" s="98" t="s">
        <v>96</v>
      </c>
      <c r="P9" s="91">
        <f ca="1">VLOOKUP(O9,FPE_FPM_9478!$B$4:$J$30,4, FALSE)</f>
        <v>8.6169750000000003E-2</v>
      </c>
      <c r="Q9" s="92">
        <f ca="1">VLOOKUP(O9,FPE_FPM_9478!$B$4:$J$30,5, FALSE)</f>
        <v>13402345.084013918</v>
      </c>
      <c r="R9" s="91">
        <f ca="1">VLOOKUP(O9,FPE_FPM_9478!$B$4:$J$30,6, FALSE)</f>
        <v>4.2005760000000003E-2</v>
      </c>
      <c r="S9" s="92">
        <f ca="1">VLOOKUP(O9,FPE_FPM_9478!$B$4:$J$30,7, FALSE)</f>
        <v>2351999.9625513204</v>
      </c>
      <c r="T9" s="91">
        <f ca="1">VLOOKUP(O9,FPE_FPM_9478!$B$4:$J$30,8, FALSE)</f>
        <v>4.1904461611224901E-2</v>
      </c>
      <c r="U9" s="92">
        <f ca="1">VLOOKUP(O9,FPE_FPM_9478!$B$4:$J$30,9, FALSE)</f>
        <v>56311872.737644091</v>
      </c>
      <c r="V9" s="104">
        <f t="shared" ca="1" si="0"/>
        <v>72066217.784209326</v>
      </c>
    </row>
    <row r="10" spans="2:22" x14ac:dyDescent="0.25">
      <c r="B10" s="324" t="s">
        <v>214</v>
      </c>
      <c r="C10" s="324"/>
      <c r="D10" s="324"/>
      <c r="E10" s="324"/>
      <c r="H10" s="87" t="s">
        <v>97</v>
      </c>
      <c r="I10" s="98" t="s">
        <v>98</v>
      </c>
      <c r="J10" s="91">
        <f ca="1">VLOOKUP(I10,FPE_FPM_9478!$B$4:$D$30,2,FALSE)</f>
        <v>6.5158799999999999E-3</v>
      </c>
      <c r="K10" s="92">
        <f ca="1">VLOOKUP(I10,FPE_FPM_9478!$B$4:$D$30,3,FALSE)</f>
        <v>2533605.8270455874</v>
      </c>
      <c r="L10" s="92">
        <f>VLOOKUP(I10,FPE_FPM_ACORDO!$J$4:$L$30,3,FALSE)</f>
        <v>47298045.204365656</v>
      </c>
      <c r="N10" s="87" t="s">
        <v>97</v>
      </c>
      <c r="O10" s="98" t="s">
        <v>98</v>
      </c>
      <c r="P10" s="91">
        <f ca="1">VLOOKUP(O10,FPE_FPM_9478!$B$4:$J$30,4, FALSE)</f>
        <v>1.7233950000000001E-2</v>
      </c>
      <c r="Q10" s="92">
        <f ca="1">VLOOKUP(O10,FPE_FPM_9478!$B$4:$J$30,5, FALSE)</f>
        <v>2680469.0168027836</v>
      </c>
      <c r="R10" s="91">
        <f ca="1">VLOOKUP(O10,FPE_FPM_9478!$B$4:$J$30,6, FALSE)</f>
        <v>0</v>
      </c>
      <c r="S10" s="92">
        <f ca="1">VLOOKUP(O10,FPE_FPM_9478!$B$4:$J$30,7, FALSE)</f>
        <v>0</v>
      </c>
      <c r="T10" s="91">
        <f ca="1">VLOOKUP(O10,FPE_FPM_9478!$B$4:$J$30,8, FALSE)</f>
        <v>0</v>
      </c>
      <c r="U10" s="92">
        <f ca="1">VLOOKUP(O10,FPE_FPM_9478!$B$4:$J$30,9, FALSE)</f>
        <v>0</v>
      </c>
      <c r="V10" s="104">
        <f t="shared" ca="1" si="0"/>
        <v>2680469.0168027836</v>
      </c>
    </row>
    <row r="11" spans="2:22" x14ac:dyDescent="0.25">
      <c r="B11" s="80" t="s">
        <v>215</v>
      </c>
      <c r="C11" s="84">
        <f ca="1">C5</f>
        <v>1944177783.38888</v>
      </c>
      <c r="D11" s="80" t="s">
        <v>213</v>
      </c>
      <c r="E11" s="84">
        <f>E5+E8</f>
        <v>7258888316.5997009</v>
      </c>
      <c r="H11" s="87" t="s">
        <v>12</v>
      </c>
      <c r="I11" s="98" t="s">
        <v>99</v>
      </c>
      <c r="J11" s="91">
        <f ca="1">VLOOKUP(I11,FPE_FPM_9478!$B$4:$D$30,2,FALSE)</f>
        <v>2.4027639999999999E-2</v>
      </c>
      <c r="K11" s="92">
        <f ca="1">VLOOKUP(I11,FPE_FPM_9478!$B$4:$D$30,3,FALSE)</f>
        <v>9342800.7750531975</v>
      </c>
      <c r="L11" s="92">
        <f>VLOOKUP(I11,FPE_FPM_ACORDO!$J$4:$L$30,3,FALSE)</f>
        <v>174413955.27146363</v>
      </c>
      <c r="N11" s="87" t="s">
        <v>12</v>
      </c>
      <c r="O11" s="98" t="s">
        <v>99</v>
      </c>
      <c r="P11" s="91">
        <f ca="1">VLOOKUP(O11,FPE_FPM_9478!$B$4:$J$30,4, FALSE)</f>
        <v>1.7233950000000001E-2</v>
      </c>
      <c r="Q11" s="92">
        <f ca="1">VLOOKUP(O11,FPE_FPM_9478!$B$4:$J$30,5, FALSE)</f>
        <v>2680469.0168027836</v>
      </c>
      <c r="R11" s="91">
        <f ca="1">VLOOKUP(O11,FPE_FPM_9478!$B$4:$J$30,6, FALSE)</f>
        <v>2.6253600000000002E-2</v>
      </c>
      <c r="S11" s="92">
        <f ca="1">VLOOKUP(O11,FPE_FPM_9478!$B$4:$J$30,7, FALSE)</f>
        <v>1469999.9765945752</v>
      </c>
      <c r="T11" s="91">
        <f ca="1">VLOOKUP(O11,FPE_FPM_9478!$B$4:$J$30,8, FALSE)</f>
        <v>1.7499605864732745E-2</v>
      </c>
      <c r="U11" s="92">
        <f ca="1">VLOOKUP(O11,FPE_FPM_9478!$B$4:$J$30,9, FALSE)</f>
        <v>23516244.822718188</v>
      </c>
      <c r="V11" s="104">
        <f t="shared" ca="1" si="0"/>
        <v>27666713.816115547</v>
      </c>
    </row>
    <row r="12" spans="2:22" x14ac:dyDescent="0.25">
      <c r="B12" s="80"/>
      <c r="C12" s="84"/>
      <c r="D12" s="80" t="s">
        <v>212</v>
      </c>
      <c r="E12" s="84">
        <f>E6+E9</f>
        <v>7258888316.5997009</v>
      </c>
      <c r="H12" s="87" t="s">
        <v>100</v>
      </c>
      <c r="I12" s="98" t="s">
        <v>101</v>
      </c>
      <c r="J12" s="91">
        <f ca="1">VLOOKUP(I12,FPE_FPM_9478!$B$4:$D$30,2,FALSE)</f>
        <v>3.2162830000000003E-2</v>
      </c>
      <c r="K12" s="92">
        <f ca="1">VLOOKUP(I12,FPE_FPM_9478!$B$4:$D$30,3,FALSE)</f>
        <v>12506051.907382676</v>
      </c>
      <c r="L12" s="92">
        <f>VLOOKUP(I12,FPE_FPM_ACORDO!$J$4:$L$30,3,FALSE)</f>
        <v>233466390.91578239</v>
      </c>
      <c r="N12" s="87" t="s">
        <v>100</v>
      </c>
      <c r="O12" s="98" t="s">
        <v>101</v>
      </c>
      <c r="P12" s="91">
        <f ca="1">VLOOKUP(O12,FPE_FPM_9478!$B$4:$J$30,4, FALSE)</f>
        <v>3.1021110000000001E-2</v>
      </c>
      <c r="Q12" s="92">
        <f ca="1">VLOOKUP(O12,FPE_FPM_9478!$B$4:$J$30,5, FALSE)</f>
        <v>4824844.23024501</v>
      </c>
      <c r="R12" s="91">
        <f ca="1">VLOOKUP(O12,FPE_FPM_9478!$B$4:$J$30,6, FALSE)</f>
        <v>3.780522E-2</v>
      </c>
      <c r="S12" s="92">
        <f ca="1">VLOOKUP(O12,FPE_FPM_9478!$B$4:$J$30,7, FALSE)</f>
        <v>2116801.9820197141</v>
      </c>
      <c r="T12" s="91">
        <f ca="1">VLOOKUP(O12,FPE_FPM_9478!$B$4:$J$30,8, FALSE)</f>
        <v>3.8562194545167752E-2</v>
      </c>
      <c r="U12" s="92">
        <f ca="1">VLOOKUP(O12,FPE_FPM_9478!$B$4:$J$30,9, FALSE)</f>
        <v>51820481.834566273</v>
      </c>
      <c r="V12" s="104">
        <f t="shared" ca="1" si="0"/>
        <v>58762128.046830997</v>
      </c>
    </row>
    <row r="13" spans="2:22" x14ac:dyDescent="0.25">
      <c r="B13" s="83" t="s">
        <v>126</v>
      </c>
      <c r="C13" s="84">
        <f ca="1">C11*0.2</f>
        <v>388835556.67777604</v>
      </c>
      <c r="D13" s="80"/>
      <c r="E13" s="84"/>
      <c r="H13" s="87" t="s">
        <v>13</v>
      </c>
      <c r="I13" s="98" t="s">
        <v>102</v>
      </c>
      <c r="J13" s="91">
        <f ca="1">VLOOKUP(I13,FPE_FPM_9478!$B$4:$D$30,2,FALSE)</f>
        <v>6.6224980000000003E-2</v>
      </c>
      <c r="K13" s="92">
        <f ca="1">VLOOKUP(I13,FPE_FPM_9478!$B$4:$D$30,3,FALSE)</f>
        <v>25750626.964274585</v>
      </c>
      <c r="L13" s="92">
        <f>VLOOKUP(I13,FPE_FPM_ACORDO!$J$4:$L$30,3,FALSE)</f>
        <v>480719733.58904886</v>
      </c>
      <c r="N13" s="87" t="s">
        <v>13</v>
      </c>
      <c r="O13" s="98" t="s">
        <v>102</v>
      </c>
      <c r="P13" s="91">
        <f ca="1">VLOOKUP(O13,FPE_FPM_9478!$B$4:$J$30,4, FALSE)</f>
        <v>5.3856099999999997E-2</v>
      </c>
      <c r="Q13" s="92">
        <f ca="1">VLOOKUP(O13,FPE_FPM_9478!$B$4:$J$30,5, FALSE)</f>
        <v>8376466.6495975899</v>
      </c>
      <c r="R13" s="91">
        <f ca="1">VLOOKUP(O13,FPE_FPM_9478!$B$4:$J$30,6, FALSE)</f>
        <v>6.5633999999999998E-2</v>
      </c>
      <c r="S13" s="92">
        <f ca="1">VLOOKUP(O13,FPE_FPM_9478!$B$4:$J$30,7, FALSE)</f>
        <v>3674999.9414864378</v>
      </c>
      <c r="T13" s="91">
        <f ca="1">VLOOKUP(O13,FPE_FPM_9478!$B$4:$J$30,8, FALSE)</f>
        <v>4.3701718429765002E-2</v>
      </c>
      <c r="U13" s="92">
        <f ca="1">VLOOKUP(O13,FPE_FPM_9478!$B$4:$J$30,9, FALSE)</f>
        <v>58727054.638355665</v>
      </c>
      <c r="V13" s="104">
        <f t="shared" ca="1" si="0"/>
        <v>70778521.229439691</v>
      </c>
    </row>
    <row r="14" spans="2:22" x14ac:dyDescent="0.25">
      <c r="B14" s="83" t="s">
        <v>127</v>
      </c>
      <c r="C14" s="84">
        <f ca="1">C11*0.8</f>
        <v>1555342226.7111042</v>
      </c>
      <c r="D14" s="80"/>
      <c r="E14" s="84"/>
      <c r="H14" s="87" t="s">
        <v>14</v>
      </c>
      <c r="I14" s="98" t="s">
        <v>103</v>
      </c>
      <c r="J14" s="91">
        <f ca="1">VLOOKUP(I14,FPE_FPM_9478!$B$4:$D$30,2,FALSE)</f>
        <v>5.0069740000000001E-2</v>
      </c>
      <c r="K14" s="92">
        <f ca="1">VLOOKUP(I14,FPE_FPM_9478!$B$4:$D$30,3,FALSE)</f>
        <v>19468895.225611512</v>
      </c>
      <c r="L14" s="92">
        <f>VLOOKUP(I14,FPE_FPM_ACORDO!$J$4:$L$30,3,FALSE)</f>
        <v>363450650.70118475</v>
      </c>
      <c r="N14" s="87" t="s">
        <v>14</v>
      </c>
      <c r="O14" s="98" t="s">
        <v>103</v>
      </c>
      <c r="P14" s="91">
        <f ca="1">VLOOKUP(O14,FPE_FPM_9478!$B$4:$J$30,4, FALSE)</f>
        <v>5.1701850000000001E-2</v>
      </c>
      <c r="Q14" s="92">
        <f ca="1">VLOOKUP(O14,FPE_FPM_9478!$B$4:$J$30,5, FALSE)</f>
        <v>8041407.0504083503</v>
      </c>
      <c r="R14" s="91">
        <f ca="1">VLOOKUP(O14,FPE_FPM_9478!$B$4:$J$30,6, FALSE)</f>
        <v>0.10081392</v>
      </c>
      <c r="S14" s="92">
        <f ca="1">VLOOKUP(O14,FPE_FPM_9478!$B$4:$J$30,7, FALSE)</f>
        <v>5644805.2853859039</v>
      </c>
      <c r="T14" s="91">
        <f ca="1">VLOOKUP(O14,FPE_FPM_9478!$B$4:$J$30,8, FALSE)</f>
        <v>0.13369068264228354</v>
      </c>
      <c r="U14" s="92">
        <f ca="1">VLOOKUP(O14,FPE_FPM_9478!$B$4:$J$30,9, FALSE)</f>
        <v>179655636.12310958</v>
      </c>
      <c r="V14" s="104">
        <f t="shared" ca="1" si="0"/>
        <v>193341848.45890385</v>
      </c>
    </row>
    <row r="15" spans="2:22" x14ac:dyDescent="0.25">
      <c r="B15" s="81" t="s">
        <v>216</v>
      </c>
      <c r="C15" s="85">
        <f ca="1">C14*0.1</f>
        <v>155534222.67111042</v>
      </c>
      <c r="D15" s="81" t="s">
        <v>216</v>
      </c>
      <c r="E15" s="85">
        <f>E12*0.1</f>
        <v>725888831.65997016</v>
      </c>
      <c r="H15" s="87" t="s">
        <v>104</v>
      </c>
      <c r="I15" s="98" t="s">
        <v>105</v>
      </c>
      <c r="J15" s="91">
        <f ca="1">VLOOKUP(I15,FPE_FPM_9478!$B$4:$D$30,2,FALSE)</f>
        <v>1.532879E-2</v>
      </c>
      <c r="K15" s="92">
        <f ca="1">VLOOKUP(I15,FPE_FPM_9478!$B$4:$D$30,3,FALSE)</f>
        <v>5960378.592846727</v>
      </c>
      <c r="L15" s="92">
        <f>VLOOKUP(I15,FPE_FPM_ACORDO!$J$4:$L$30,3,FALSE)</f>
        <v>111269974.63861033</v>
      </c>
      <c r="N15" s="87" t="s">
        <v>104</v>
      </c>
      <c r="O15" s="98" t="s">
        <v>105</v>
      </c>
      <c r="P15" s="91">
        <f ca="1">VLOOKUP(O15,FPE_FPM_9478!$B$4:$J$30,4, FALSE)</f>
        <v>1.551056E-2</v>
      </c>
      <c r="Q15" s="92">
        <f ca="1">VLOOKUP(O15,FPE_FPM_9478!$B$4:$J$30,5, FALSE)</f>
        <v>2412422.8927936186</v>
      </c>
      <c r="R15" s="91">
        <f ca="1">VLOOKUP(O15,FPE_FPM_9478!$B$4:$J$30,6, FALSE)</f>
        <v>4.7256499999999996E-3</v>
      </c>
      <c r="S15" s="92">
        <f ca="1">VLOOKUP(O15,FPE_FPM_9478!$B$4:$J$30,7, FALSE)</f>
        <v>264600.10777166381</v>
      </c>
      <c r="T15" s="91">
        <f ca="1">VLOOKUP(O15,FPE_FPM_9478!$B$4:$J$30,8, FALSE)</f>
        <v>1.4188869620053578E-2</v>
      </c>
      <c r="U15" s="92">
        <f ca="1">VLOOKUP(O15,FPE_FPM_9478!$B$4:$J$30,9, FALSE)</f>
        <v>19067225.531933665</v>
      </c>
      <c r="V15" s="104">
        <f t="shared" ca="1" si="0"/>
        <v>21744248.532498948</v>
      </c>
    </row>
    <row r="16" spans="2:22" x14ac:dyDescent="0.25">
      <c r="B16" s="81" t="s">
        <v>217</v>
      </c>
      <c r="C16" s="85">
        <f ca="1">C14*0.036</f>
        <v>55992320.161599748</v>
      </c>
      <c r="D16" s="81" t="s">
        <v>217</v>
      </c>
      <c r="E16" s="85">
        <f>E12*0.036</f>
        <v>261319979.39758921</v>
      </c>
      <c r="H16" s="87" t="s">
        <v>106</v>
      </c>
      <c r="I16" s="98" t="s">
        <v>107</v>
      </c>
      <c r="J16" s="91">
        <f ca="1">VLOOKUP(I16,FPE_FPM_9478!$B$4:$D$30,2,FALSE)</f>
        <v>2.3178600000000001E-2</v>
      </c>
      <c r="K16" s="92">
        <f ca="1">VLOOKUP(I16,FPE_FPM_9478!$B$4:$D$30,3,FALSE)</f>
        <v>9012663.8340115007</v>
      </c>
      <c r="L16" s="92">
        <f>VLOOKUP(I16,FPE_FPM_ACORDO!$J$4:$L$30,3,FALSE)</f>
        <v>168250868.73513782</v>
      </c>
      <c r="N16" s="87" t="s">
        <v>106</v>
      </c>
      <c r="O16" s="98" t="s">
        <v>107</v>
      </c>
      <c r="P16" s="91">
        <f ca="1">VLOOKUP(O16,FPE_FPM_9478!$B$4:$J$30,4, FALSE)</f>
        <v>1.551056E-2</v>
      </c>
      <c r="Q16" s="92">
        <f ca="1">VLOOKUP(O16,FPE_FPM_9478!$B$4:$J$30,5, FALSE)</f>
        <v>2412422.8927936186</v>
      </c>
      <c r="R16" s="91">
        <f ca="1">VLOOKUP(O16,FPE_FPM_9478!$B$4:$J$30,6, FALSE)</f>
        <v>9.4512999999999993E-3</v>
      </c>
      <c r="S16" s="92">
        <f ca="1">VLOOKUP(O16,FPE_FPM_9478!$B$4:$J$30,7, FALSE)</f>
        <v>529200.21554332762</v>
      </c>
      <c r="T16" s="91">
        <f ca="1">VLOOKUP(O16,FPE_FPM_9478!$B$4:$J$30,8, FALSE)</f>
        <v>2.2260759892795141E-2</v>
      </c>
      <c r="U16" s="92">
        <f ca="1">VLOOKUP(O16,FPE_FPM_9478!$B$4:$J$30,9, FALSE)</f>
        <v>29914358.278989226</v>
      </c>
      <c r="V16" s="104">
        <f t="shared" ca="1" si="0"/>
        <v>32855981.38732617</v>
      </c>
    </row>
    <row r="17" spans="2:22" x14ac:dyDescent="0.25">
      <c r="B17" s="81" t="s">
        <v>218</v>
      </c>
      <c r="C17" s="85">
        <f ca="1">C14*0.864</f>
        <v>1343815683.8783939</v>
      </c>
      <c r="D17" s="81" t="s">
        <v>218</v>
      </c>
      <c r="E17" s="85">
        <f>E12*0.864</f>
        <v>6271679505.5421419</v>
      </c>
      <c r="H17" s="87" t="s">
        <v>15</v>
      </c>
      <c r="I17" s="98" t="s">
        <v>108</v>
      </c>
      <c r="J17" s="91">
        <f ca="1">VLOOKUP(I17,FPE_FPM_9478!$B$4:$D$30,2,FALSE)</f>
        <v>6.3656299999999999E-2</v>
      </c>
      <c r="K17" s="92">
        <f ca="1">VLOOKUP(I17,FPE_FPM_9478!$B$4:$D$30,3,FALSE)</f>
        <v>24751832.846547514</v>
      </c>
      <c r="L17" s="92">
        <f>VLOOKUP(I17,FPE_FPM_ACORDO!$J$4:$L$30,3,FALSE)</f>
        <v>462073972.34796554</v>
      </c>
      <c r="N17" s="87" t="s">
        <v>15</v>
      </c>
      <c r="O17" s="98" t="s">
        <v>108</v>
      </c>
      <c r="P17" s="91">
        <f ca="1">VLOOKUP(O17,FPE_FPM_9478!$B$4:$J$30,4, FALSE)</f>
        <v>4.6531669999999997E-2</v>
      </c>
      <c r="Q17" s="92">
        <f ca="1">VLOOKUP(O17,FPE_FPM_9478!$B$4:$J$30,5, FALSE)</f>
        <v>7237267.1230386281</v>
      </c>
      <c r="R17" s="91">
        <f ca="1">VLOOKUP(O17,FPE_FPM_9478!$B$4:$J$30,6, FALSE)</f>
        <v>5.6707799999999989E-2</v>
      </c>
      <c r="S17" s="92">
        <f ca="1">VLOOKUP(O17,FPE_FPM_9478!$B$4:$J$30,7, FALSE)</f>
        <v>3175201.2932599657</v>
      </c>
      <c r="T17" s="91">
        <f ca="1">VLOOKUP(O17,FPE_FPM_9478!$B$4:$J$30,8, FALSE)</f>
        <v>3.9161280151347864E-2</v>
      </c>
      <c r="U17" s="92">
        <f ca="1">VLOOKUP(O17,FPE_FPM_9478!$B$4:$J$30,9, FALSE)</f>
        <v>52625542.468136907</v>
      </c>
      <c r="V17" s="104">
        <f t="shared" ca="1" si="0"/>
        <v>63038010.884435497</v>
      </c>
    </row>
    <row r="18" spans="2:22" x14ac:dyDescent="0.25">
      <c r="H18" s="87" t="s">
        <v>16</v>
      </c>
      <c r="I18" s="98" t="s">
        <v>109</v>
      </c>
      <c r="J18" s="91">
        <f ca="1">VLOOKUP(I18,FPE_FPM_9478!$B$4:$D$30,2,FALSE)</f>
        <v>4.4207620000000003E-2</v>
      </c>
      <c r="K18" s="92">
        <f ca="1">VLOOKUP(I18,FPE_FPM_9478!$B$4:$D$30,3,FALSE)</f>
        <v>17189494.532099586</v>
      </c>
      <c r="L18" s="92">
        <f>VLOOKUP(I18,FPE_FPM_ACORDO!$J$4:$L$30,3,FALSE)</f>
        <v>320898176.32267928</v>
      </c>
      <c r="N18" s="87" t="s">
        <v>16</v>
      </c>
      <c r="O18" s="98" t="s">
        <v>109</v>
      </c>
      <c r="P18" s="91">
        <f ca="1">VLOOKUP(O18,FPE_FPM_9478!$B$4:$J$30,4, FALSE)</f>
        <v>3.4467900000000003E-2</v>
      </c>
      <c r="Q18" s="92">
        <f ca="1">VLOOKUP(O18,FPE_FPM_9478!$B$4:$J$30,5, FALSE)</f>
        <v>5360938.0336055672</v>
      </c>
      <c r="R18" s="91">
        <f ca="1">VLOOKUP(O18,FPE_FPM_9478!$B$4:$J$30,6, FALSE)</f>
        <v>1.0501440000000001E-2</v>
      </c>
      <c r="S18" s="92">
        <f ca="1">VLOOKUP(O18,FPE_FPM_9478!$B$4:$J$30,7, FALSE)</f>
        <v>587999.99063783011</v>
      </c>
      <c r="T18" s="91">
        <f ca="1">VLOOKUP(O18,FPE_FPM_9478!$B$4:$J$30,8, FALSE)</f>
        <v>3.0458773451048266E-2</v>
      </c>
      <c r="U18" s="92">
        <f ca="1">VLOOKUP(O18,FPE_FPM_9478!$B$4:$J$30,9, FALSE)</f>
        <v>40930977.475217491</v>
      </c>
      <c r="V18" s="104">
        <f t="shared" ca="1" si="0"/>
        <v>46879915.499460891</v>
      </c>
    </row>
    <row r="19" spans="2:22" x14ac:dyDescent="0.25">
      <c r="H19" s="87" t="s">
        <v>17</v>
      </c>
      <c r="I19" s="98" t="s">
        <v>110</v>
      </c>
      <c r="J19" s="91">
        <f ca="1">VLOOKUP(I19,FPE_FPM_9478!$B$4:$D$30,2,FALSE)</f>
        <v>6.1813609999999998E-2</v>
      </c>
      <c r="K19" s="92">
        <f ca="1">VLOOKUP(I19,FPE_FPM_9478!$B$4:$D$30,3,FALSE)</f>
        <v>24035329.454612944</v>
      </c>
      <c r="L19" s="92">
        <f>VLOOKUP(I19,FPE_FPM_ACORDO!$J$4:$L$30,3,FALSE)</f>
        <v>448698091.43585044</v>
      </c>
      <c r="N19" s="87" t="s">
        <v>17</v>
      </c>
      <c r="O19" s="98" t="s">
        <v>110</v>
      </c>
      <c r="P19" s="91">
        <f ca="1">VLOOKUP(O19,FPE_FPM_9478!$B$4:$J$30,4, FALSE)</f>
        <v>5.428695E-2</v>
      </c>
      <c r="Q19" s="92">
        <f ca="1">VLOOKUP(O19,FPE_FPM_9478!$B$4:$J$30,5, FALSE)</f>
        <v>8443478.5694354381</v>
      </c>
      <c r="R19" s="91">
        <f ca="1">VLOOKUP(O19,FPE_FPM_9478!$B$4:$J$30,6, FALSE)</f>
        <v>6.6159099999999985E-2</v>
      </c>
      <c r="S19" s="92">
        <f ca="1">VLOOKUP(O19,FPE_FPM_9478!$B$4:$J$30,7, FALSE)</f>
        <v>3704401.5088032931</v>
      </c>
      <c r="T19" s="91">
        <f ca="1">VLOOKUP(O19,FPE_FPM_9478!$B$4:$J$30,8, FALSE)</f>
        <v>4.3417941037363947E-2</v>
      </c>
      <c r="U19" s="92">
        <f ca="1">VLOOKUP(O19,FPE_FPM_9478!$B$4:$J$30,9, FALSE)</f>
        <v>58345710.127717018</v>
      </c>
      <c r="V19" s="104">
        <f t="shared" ca="1" si="0"/>
        <v>70493590.205955744</v>
      </c>
    </row>
    <row r="20" spans="2:22" x14ac:dyDescent="0.25">
      <c r="H20" s="87" t="s">
        <v>111</v>
      </c>
      <c r="I20" s="98" t="s">
        <v>112</v>
      </c>
      <c r="J20" s="91">
        <f ca="1">VLOOKUP(I20,FPE_FPM_9478!$B$4:$D$30,2,FALSE)</f>
        <v>4.2926039999999999E-2</v>
      </c>
      <c r="K20" s="92">
        <f ca="1">VLOOKUP(I20,FPE_FPM_9478!$B$4:$D$30,3,FALSE)</f>
        <v>16691170.659372481</v>
      </c>
      <c r="L20" s="92">
        <f>VLOOKUP(I20,FPE_FPM_ACORDO!$J$4:$L$30,3,FALSE)</f>
        <v>311595330.23389143</v>
      </c>
      <c r="N20" s="87" t="s">
        <v>111</v>
      </c>
      <c r="O20" s="98" t="s">
        <v>112</v>
      </c>
      <c r="P20" s="91">
        <f ca="1">VLOOKUP(O20,FPE_FPM_9478!$B$4:$J$30,4, FALSE)</f>
        <v>5.3856099999999997E-2</v>
      </c>
      <c r="Q20" s="92">
        <f ca="1">VLOOKUP(O20,FPE_FPM_9478!$B$4:$J$30,5, FALSE)</f>
        <v>8376466.6495975899</v>
      </c>
      <c r="R20" s="91">
        <f ca="1">VLOOKUP(O20,FPE_FPM_9478!$B$4:$J$30,6, FALSE)</f>
        <v>1.3126799999999999E-2</v>
      </c>
      <c r="S20" s="92">
        <f ca="1">VLOOKUP(O20,FPE_FPM_9478!$B$4:$J$30,7, FALSE)</f>
        <v>734999.98829728749</v>
      </c>
      <c r="T20" s="91">
        <f ca="1">VLOOKUP(O20,FPE_FPM_9478!$B$4:$J$30,8, FALSE)</f>
        <v>2.7526407062903845E-2</v>
      </c>
      <c r="U20" s="92">
        <f ca="1">VLOOKUP(O20,FPE_FPM_9478!$B$4:$J$30,9, FALSE)</f>
        <v>36990417.531951182</v>
      </c>
      <c r="V20" s="104">
        <f t="shared" ca="1" si="0"/>
        <v>46101884.169846065</v>
      </c>
    </row>
    <row r="21" spans="2:22" x14ac:dyDescent="0.25">
      <c r="H21" s="87" t="s">
        <v>18</v>
      </c>
      <c r="I21" s="98" t="s">
        <v>113</v>
      </c>
      <c r="J21" s="91">
        <f ca="1">VLOOKUP(I21,FPE_FPM_9478!$B$4:$D$30,2,FALSE)</f>
        <v>2.446038E-2</v>
      </c>
      <c r="K21" s="92">
        <f ca="1">VLOOKUP(I21,FPE_FPM_9478!$B$4:$D$30,3,FALSE)</f>
        <v>9511065.4738499392</v>
      </c>
      <c r="L21" s="92">
        <f>VLOOKUP(I21,FPE_FPM_ACORDO!$J$4:$L$30,3,FALSE)</f>
        <v>177555166.60158899</v>
      </c>
      <c r="N21" s="87" t="s">
        <v>18</v>
      </c>
      <c r="O21" s="98" t="s">
        <v>113</v>
      </c>
      <c r="P21" s="91">
        <f ca="1">VLOOKUP(O21,FPE_FPM_9478!$B$4:$J$30,4, FALSE)</f>
        <v>3.1021110000000001E-2</v>
      </c>
      <c r="Q21" s="92">
        <f ca="1">VLOOKUP(O21,FPE_FPM_9478!$B$4:$J$30,5, FALSE)</f>
        <v>4824844.23024501</v>
      </c>
      <c r="R21" s="91">
        <f ca="1">VLOOKUP(O21,FPE_FPM_9478!$B$4:$J$30,6, FALSE)</f>
        <v>4.2530849999999988E-2</v>
      </c>
      <c r="S21" s="92">
        <f ca="1">VLOOKUP(O21,FPE_FPM_9478!$B$4:$J$30,7, FALSE)</f>
        <v>2381400.9699449739</v>
      </c>
      <c r="T21" s="91">
        <f ca="1">VLOOKUP(O21,FPE_FPM_9478!$B$4:$J$30,8, FALSE)</f>
        <v>6.5457985180514058E-2</v>
      </c>
      <c r="U21" s="92">
        <f ca="1">VLOOKUP(O21,FPE_FPM_9478!$B$4:$J$30,9, FALSE)</f>
        <v>87963467.12065427</v>
      </c>
      <c r="V21" s="104">
        <f t="shared" ca="1" si="0"/>
        <v>95169712.320844248</v>
      </c>
    </row>
    <row r="22" spans="2:22" x14ac:dyDescent="0.25">
      <c r="H22" s="87" t="s">
        <v>19</v>
      </c>
      <c r="I22" s="98" t="s">
        <v>114</v>
      </c>
      <c r="J22" s="91">
        <f ca="1">VLOOKUP(I22,FPE_FPM_9478!$B$4:$D$30,2,FALSE)</f>
        <v>2.6822760000000001E-2</v>
      </c>
      <c r="K22" s="92">
        <f ca="1">VLOOKUP(I22,FPE_FPM_9478!$B$4:$D$30,3,FALSE)</f>
        <v>10429642.816234384</v>
      </c>
      <c r="L22" s="92">
        <f>VLOOKUP(I22,FPE_FPM_ACORDO!$J$4:$L$30,3,FALSE)</f>
        <v>194703419.1829578</v>
      </c>
      <c r="N22" s="87" t="s">
        <v>19</v>
      </c>
      <c r="O22" s="98" t="s">
        <v>114</v>
      </c>
      <c r="P22" s="91">
        <f ca="1">VLOOKUP(O22,FPE_FPM_9478!$B$4:$J$30,4, FALSE)</f>
        <v>3.0159410000000001E-2</v>
      </c>
      <c r="Q22" s="92">
        <f ca="1">VLOOKUP(O22,FPE_FPM_9478!$B$4:$J$30,5, FALSE)</f>
        <v>4690820.3905693144</v>
      </c>
      <c r="R22" s="91">
        <f ca="1">VLOOKUP(O22,FPE_FPM_9478!$B$4:$J$30,6, FALSE)</f>
        <v>7.7185709999999991E-2</v>
      </c>
      <c r="S22" s="92">
        <f ca="1">VLOOKUP(O22,FPE_FPM_9478!$B$4:$J$30,7, FALSE)</f>
        <v>4321806.9862203905</v>
      </c>
      <c r="T22" s="91">
        <f ca="1">VLOOKUP(O22,FPE_FPM_9478!$B$4:$J$30,8, FALSE)</f>
        <v>3.0521835093804135E-2</v>
      </c>
      <c r="U22" s="92">
        <f ca="1">VLOOKUP(O22,FPE_FPM_9478!$B$4:$J$30,9, FALSE)</f>
        <v>41015720.699803963</v>
      </c>
      <c r="V22" s="104">
        <f t="shared" ca="1" si="0"/>
        <v>50028348.076593667</v>
      </c>
    </row>
    <row r="23" spans="2:22" x14ac:dyDescent="0.25">
      <c r="H23" s="87" t="s">
        <v>24</v>
      </c>
      <c r="I23" s="98" t="s">
        <v>115</v>
      </c>
      <c r="J23" s="91">
        <f ca="1">VLOOKUP(I23,FPE_FPM_9478!$B$4:$D$30,2,FALSE)</f>
        <v>3.6573660000000001E-2</v>
      </c>
      <c r="K23" s="92">
        <f ca="1">VLOOKUP(I23,FPE_FPM_9478!$B$4:$D$30,3,FALSE)</f>
        <v>14221139.445843711</v>
      </c>
      <c r="L23" s="92">
        <f>VLOOKUP(I23,FPE_FPM_ACORDO!$J$4:$L$30,3,FALSE)</f>
        <v>265484113.26928982</v>
      </c>
      <c r="N23" s="87" t="s">
        <v>24</v>
      </c>
      <c r="O23" s="98" t="s">
        <v>115</v>
      </c>
      <c r="P23" s="91">
        <f ca="1">VLOOKUP(O23,FPE_FPM_9478!$B$4:$J$30,4, FALSE)</f>
        <v>3.1021110000000001E-2</v>
      </c>
      <c r="Q23" s="92">
        <f ca="1">VLOOKUP(O23,FPE_FPM_9478!$B$4:$J$30,5, FALSE)</f>
        <v>4824844.23024501</v>
      </c>
      <c r="R23" s="91">
        <f ca="1">VLOOKUP(O23,FPE_FPM_9478!$B$4:$J$30,6, FALSE)</f>
        <v>1.8902599999999999E-2</v>
      </c>
      <c r="S23" s="92">
        <f ca="1">VLOOKUP(O23,FPE_FPM_9478!$B$4:$J$30,7, FALSE)</f>
        <v>1058400.4310866552</v>
      </c>
      <c r="T23" s="91">
        <f ca="1">VLOOKUP(O23,FPE_FPM_9478!$B$4:$J$30,8, FALSE)</f>
        <v>2.3080561248620447E-2</v>
      </c>
      <c r="U23" s="92">
        <f ca="1">VLOOKUP(O23,FPE_FPM_9478!$B$4:$J$30,9, FALSE)</f>
        <v>31016020.198612042</v>
      </c>
      <c r="V23" s="104">
        <f t="shared" ca="1" si="0"/>
        <v>36899264.85994371</v>
      </c>
    </row>
    <row r="24" spans="2:22" x14ac:dyDescent="0.25">
      <c r="H24" s="87" t="s">
        <v>116</v>
      </c>
      <c r="I24" s="98" t="s">
        <v>117</v>
      </c>
      <c r="J24" s="91">
        <f ca="1">VLOOKUP(I24,FPE_FPM_9478!$B$4:$D$30,2,FALSE)</f>
        <v>3.41517E-2</v>
      </c>
      <c r="K24" s="92">
        <f ca="1">VLOOKUP(I24,FPE_FPM_9478!$B$4:$D$30,3,FALSE)</f>
        <v>13279395.280992404</v>
      </c>
      <c r="L24" s="92">
        <f>VLOOKUP(I24,FPE_FPM_ACORDO!$J$4:$L$30,3,FALSE)</f>
        <v>247903376.12201801</v>
      </c>
      <c r="N24" s="87" t="s">
        <v>116</v>
      </c>
      <c r="O24" s="98" t="s">
        <v>117</v>
      </c>
      <c r="P24" s="91">
        <f ca="1">VLOOKUP(O24,FPE_FPM_9478!$B$4:$J$30,4, FALSE)</f>
        <v>2.4127530000000001E-2</v>
      </c>
      <c r="Q24" s="92">
        <f ca="1">VLOOKUP(O24,FPE_FPM_9478!$B$4:$J$30,5, FALSE)</f>
        <v>3752656.623523897</v>
      </c>
      <c r="R24" s="91">
        <f ca="1">VLOOKUP(O24,FPE_FPM_9478!$B$4:$J$30,6, FALSE)</f>
        <v>0</v>
      </c>
      <c r="S24" s="92">
        <f ca="1">VLOOKUP(O24,FPE_FPM_9478!$B$4:$J$30,7, FALSE)</f>
        <v>0</v>
      </c>
      <c r="T24" s="91">
        <f ca="1">VLOOKUP(O24,FPE_FPM_9478!$B$4:$J$30,8, FALSE)</f>
        <v>9.8376162699038133E-3</v>
      </c>
      <c r="U24" s="92">
        <f ca="1">VLOOKUP(O24,FPE_FPM_9478!$B$4:$J$30,9, FALSE)</f>
        <v>13219943.035474008</v>
      </c>
      <c r="V24" s="104">
        <f t="shared" ca="1" si="0"/>
        <v>16972599.658997905</v>
      </c>
    </row>
    <row r="25" spans="2:22" x14ac:dyDescent="0.25">
      <c r="H25" s="87" t="s">
        <v>118</v>
      </c>
      <c r="I25" s="98" t="s">
        <v>119</v>
      </c>
      <c r="J25" s="91">
        <f ca="1">VLOOKUP(I25,FPE_FPM_9478!$B$4:$D$30,2,FALSE)</f>
        <v>2.4394430000000002E-2</v>
      </c>
      <c r="K25" s="92">
        <f ca="1">VLOOKUP(I25,FPE_FPM_9478!$B$4:$D$30,3,FALSE)</f>
        <v>9485421.7688870411</v>
      </c>
      <c r="L25" s="92">
        <f>VLOOKUP(I25,FPE_FPM_ACORDO!$J$4:$L$30,3,FALSE)</f>
        <v>177076442.91710925</v>
      </c>
      <c r="N25" s="87" t="s">
        <v>118</v>
      </c>
      <c r="O25" s="98" t="s">
        <v>119</v>
      </c>
      <c r="P25" s="91">
        <f ca="1">VLOOKUP(O25,FPE_FPM_9478!$B$4:$J$30,4, FALSE)</f>
        <v>4.3084879999999999E-2</v>
      </c>
      <c r="Q25" s="92">
        <f ca="1">VLOOKUP(O25,FPE_FPM_9478!$B$4:$J$30,5, FALSE)</f>
        <v>6701173.3196780719</v>
      </c>
      <c r="R25" s="91">
        <f ca="1">VLOOKUP(O25,FPE_FPM_9478!$B$4:$J$30,6, FALSE)</f>
        <v>0</v>
      </c>
      <c r="S25" s="92">
        <f ca="1">VLOOKUP(O25,FPE_FPM_9478!$B$4:$J$30,7, FALSE)</f>
        <v>0</v>
      </c>
      <c r="T25" s="91">
        <f ca="1">VLOOKUP(O25,FPE_FPM_9478!$B$4:$J$30,8, FALSE)</f>
        <v>1.8918492826738101E-3</v>
      </c>
      <c r="U25" s="92">
        <f ca="1">VLOOKUP(O25,FPE_FPM_9478!$B$4:$J$30,9, FALSE)</f>
        <v>2542296.7375911549</v>
      </c>
      <c r="V25" s="104">
        <f t="shared" ca="1" si="0"/>
        <v>9243470.0572692268</v>
      </c>
    </row>
    <row r="26" spans="2:22" x14ac:dyDescent="0.25">
      <c r="H26" s="87" t="s">
        <v>20</v>
      </c>
      <c r="I26" s="98" t="s">
        <v>120</v>
      </c>
      <c r="J26" s="91">
        <f ca="1">VLOOKUP(I26,FPE_FPM_9478!$B$4:$D$30,2,FALSE)</f>
        <v>1.3718620000000001E-2</v>
      </c>
      <c r="K26" s="92">
        <f ca="1">VLOOKUP(I26,FPE_FPM_9478!$B$4:$D$30,3,FALSE)</f>
        <v>5334287.2445508726</v>
      </c>
      <c r="L26" s="92">
        <f>VLOOKUP(I26,FPE_FPM_ACORDO!$J$4:$L$30,3,FALSE)</f>
        <v>99581930.437870994</v>
      </c>
      <c r="N26" s="87" t="s">
        <v>20</v>
      </c>
      <c r="O26" s="98" t="s">
        <v>120</v>
      </c>
      <c r="P26" s="91">
        <f ca="1">VLOOKUP(O26,FPE_FPM_9478!$B$4:$J$30,4, FALSE)</f>
        <v>2.7143469999999999E-2</v>
      </c>
      <c r="Q26" s="92">
        <f ca="1">VLOOKUP(O26,FPE_FPM_9478!$B$4:$J$30,5, FALSE)</f>
        <v>4221738.5070466055</v>
      </c>
      <c r="R26" s="91">
        <f ca="1">VLOOKUP(O26,FPE_FPM_9478!$B$4:$J$30,6, FALSE)</f>
        <v>5.1982149999999984E-2</v>
      </c>
      <c r="S26" s="92">
        <f ca="1">VLOOKUP(O26,FPE_FPM_9478!$B$4:$J$30,7, FALSE)</f>
        <v>2910601.1854883013</v>
      </c>
      <c r="T26" s="91">
        <f ca="1">VLOOKUP(O26,FPE_FPM_9478!$B$4:$J$30,8, FALSE)</f>
        <v>7.52640706290401E-2</v>
      </c>
      <c r="U26" s="92">
        <f ca="1">VLOOKUP(O26,FPE_FPM_9478!$B$4:$J$30,9, FALSE)</f>
        <v>101141038.54383527</v>
      </c>
      <c r="V26" s="104">
        <f t="shared" ca="1" si="0"/>
        <v>108273378.23637018</v>
      </c>
    </row>
    <row r="27" spans="2:22" x14ac:dyDescent="0.25">
      <c r="H27" s="87" t="s">
        <v>21</v>
      </c>
      <c r="I27" s="98" t="s">
        <v>121</v>
      </c>
      <c r="J27" s="91">
        <f ca="1">VLOOKUP(I27,FPE_FPM_9478!$B$4:$D$30,2,FALSE)</f>
        <v>1.45557E-2</v>
      </c>
      <c r="K27" s="92">
        <f ca="1">VLOOKUP(I27,FPE_FPM_9478!$B$4:$D$30,3,FALSE)</f>
        <v>5659773.7123347046</v>
      </c>
      <c r="L27" s="92">
        <f>VLOOKUP(I27,FPE_FPM_ACORDO!$J$4:$L$30,3,FALSE)</f>
        <v>105658200.66993026</v>
      </c>
      <c r="N27" s="87" t="s">
        <v>21</v>
      </c>
      <c r="O27" s="98" t="s">
        <v>121</v>
      </c>
      <c r="P27" s="91">
        <f ca="1">VLOOKUP(O27,FPE_FPM_9478!$B$4:$J$30,4, FALSE)</f>
        <v>1.378716E-2</v>
      </c>
      <c r="Q27" s="92">
        <f ca="1">VLOOKUP(O27,FPE_FPM_9478!$B$4:$J$30,5, FALSE)</f>
        <v>2144375.2134422269</v>
      </c>
      <c r="R27" s="91">
        <f ca="1">VLOOKUP(O27,FPE_FPM_9478!$B$4:$J$30,6, FALSE)</f>
        <v>3.780522E-2</v>
      </c>
      <c r="S27" s="92">
        <f ca="1">VLOOKUP(O27,FPE_FPM_9478!$B$4:$J$30,7, FALSE)</f>
        <v>2116801.9820197141</v>
      </c>
      <c r="T27" s="91">
        <f ca="1">VLOOKUP(O27,FPE_FPM_9478!$B$4:$J$30,8, FALSE)</f>
        <v>4.7012454674444183E-2</v>
      </c>
      <c r="U27" s="92">
        <f ca="1">VLOOKUP(O27,FPE_FPM_9478!$B$4:$J$30,9, FALSE)</f>
        <v>63176073.929140203</v>
      </c>
      <c r="V27" s="104">
        <f t="shared" ca="1" si="0"/>
        <v>67437251.124602139</v>
      </c>
    </row>
    <row r="28" spans="2:22" x14ac:dyDescent="0.25">
      <c r="H28" s="87" t="s">
        <v>25</v>
      </c>
      <c r="I28" s="98" t="s">
        <v>122</v>
      </c>
      <c r="J28" s="91">
        <f ca="1">VLOOKUP(I28,FPE_FPM_9478!$B$4:$D$30,2,FALSE)</f>
        <v>3.5543819999999997E-2</v>
      </c>
      <c r="K28" s="92">
        <f ca="1">VLOOKUP(I28,FPE_FPM_9478!$B$4:$D$30,3,FALSE)</f>
        <v>13820701.036154669</v>
      </c>
      <c r="L28" s="92">
        <f>VLOOKUP(I28,FPE_FPM_ACORDO!$J$4:$L$30,3,FALSE)</f>
        <v>258008619.72532275</v>
      </c>
      <c r="N28" s="87" t="s">
        <v>25</v>
      </c>
      <c r="O28" s="98" t="s">
        <v>122</v>
      </c>
      <c r="P28" s="91">
        <f ca="1">VLOOKUP(O28,FPE_FPM_9478!$B$4:$J$30,4, FALSE)</f>
        <v>3.1021110000000001E-2</v>
      </c>
      <c r="Q28" s="92">
        <f ca="1">VLOOKUP(O28,FPE_FPM_9478!$B$4:$J$30,5, FALSE)</f>
        <v>4824844.23024501</v>
      </c>
      <c r="R28" s="91">
        <f ca="1">VLOOKUP(O28,FPE_FPM_9478!$B$4:$J$30,6, FALSE)</f>
        <v>9.4512999999999993E-3</v>
      </c>
      <c r="S28" s="92">
        <f ca="1">VLOOKUP(O28,FPE_FPM_9478!$B$4:$J$30,7, FALSE)</f>
        <v>529200.21554332762</v>
      </c>
      <c r="T28" s="91">
        <f ca="1">VLOOKUP(O28,FPE_FPM_9478!$B$4:$J$30,8, FALSE)</f>
        <v>1.3085290871827186E-2</v>
      </c>
      <c r="U28" s="92">
        <f ca="1">VLOOKUP(O28,FPE_FPM_9478!$B$4:$J$30,9, FALSE)</f>
        <v>17584219.101672154</v>
      </c>
      <c r="V28" s="104">
        <f t="shared" ca="1" si="0"/>
        <v>22938263.547460489</v>
      </c>
    </row>
    <row r="29" spans="2:22" x14ac:dyDescent="0.25">
      <c r="H29" s="87" t="s">
        <v>22</v>
      </c>
      <c r="I29" s="98" t="s">
        <v>123</v>
      </c>
      <c r="J29" s="91">
        <f ca="1">VLOOKUP(I29,FPE_FPM_9478!$B$4:$D$30,2,FALSE)</f>
        <v>6.5158799999999999E-3</v>
      </c>
      <c r="K29" s="92">
        <f ca="1">VLOOKUP(I29,FPE_FPM_9478!$B$4:$D$30,3,FALSE)</f>
        <v>2533605.8270455874</v>
      </c>
      <c r="L29" s="92">
        <f>VLOOKUP(I29,FPE_FPM_ACORDO!$J$4:$L$30,3,FALSE)</f>
        <v>47298045.204365656</v>
      </c>
      <c r="N29" s="87" t="s">
        <v>22</v>
      </c>
      <c r="O29" s="98" t="s">
        <v>123</v>
      </c>
      <c r="P29" s="91">
        <f ca="1">VLOOKUP(O29,FPE_FPM_9478!$B$4:$J$30,4, FALSE)</f>
        <v>3.0159410000000001E-2</v>
      </c>
      <c r="Q29" s="92">
        <f ca="1">VLOOKUP(O29,FPE_FPM_9478!$B$4:$J$30,5, FALSE)</f>
        <v>4690820.3905693144</v>
      </c>
      <c r="R29" s="91">
        <f ca="1">VLOOKUP(O29,FPE_FPM_9478!$B$4:$J$30,6, FALSE)</f>
        <v>0.19663976999999974</v>
      </c>
      <c r="S29" s="92">
        <f ca="1">VLOOKUP(O29,FPE_FPM_9478!$B$4:$J$30,7, FALSE)</f>
        <v>11010316.958343323</v>
      </c>
      <c r="T29" s="91">
        <f ca="1">VLOOKUP(O29,FPE_FPM_9478!$B$4:$J$30,8, FALSE)</f>
        <v>0.14207788112880371</v>
      </c>
      <c r="U29" s="92">
        <f ca="1">VLOOKUP(O29,FPE_FPM_9478!$B$4:$J$30,9, FALSE)</f>
        <v>190926484.9930965</v>
      </c>
      <c r="V29" s="104">
        <f t="shared" ca="1" si="0"/>
        <v>206627622.34200913</v>
      </c>
    </row>
    <row r="30" spans="2:22" x14ac:dyDescent="0.25">
      <c r="H30" s="87" t="s">
        <v>124</v>
      </c>
      <c r="I30" s="98" t="s">
        <v>125</v>
      </c>
      <c r="J30" s="91">
        <f ca="1">VLOOKUP(I30,FPE_FPM_9478!$B$4:$D$30,2,FALSE)</f>
        <v>3.5999969999999999E-2</v>
      </c>
      <c r="K30" s="92">
        <f ca="1">VLOOKUP(I30,FPE_FPM_9478!$B$4:$D$30,3,FALSE)</f>
        <v>13998068.375333237</v>
      </c>
      <c r="L30" s="92">
        <f>VLOOKUP(I30,FPE_FPM_ACORDO!$J$4:$L$30,3,FALSE)</f>
        <v>261319761.63093972</v>
      </c>
      <c r="N30" s="87" t="s">
        <v>124</v>
      </c>
      <c r="O30" s="98" t="s">
        <v>125</v>
      </c>
      <c r="P30" s="91">
        <f ca="1">VLOOKUP(O30,FPE_FPM_9478!$B$4:$J$30,4, FALSE)</f>
        <v>2.7574319999999999E-2</v>
      </c>
      <c r="Q30" s="92">
        <f ca="1">VLOOKUP(O30,FPE_FPM_9478!$B$4:$J$30,5, FALSE)</f>
        <v>4288750.4268844537</v>
      </c>
      <c r="R30" s="91">
        <f ca="1">VLOOKUP(O30,FPE_FPM_9478!$B$4:$J$30,6, FALSE)</f>
        <v>8.4007700000000001E-3</v>
      </c>
      <c r="S30" s="92">
        <f ca="1">VLOOKUP(O30,FPE_FPM_9478!$B$4:$J$30,7, FALSE)</f>
        <v>470378.60344396235</v>
      </c>
      <c r="T30" s="91">
        <f ca="1">VLOOKUP(O30,FPE_FPM_9478!$B$4:$J$30,8, FALSE)</f>
        <v>1.5828472331704185E-2</v>
      </c>
      <c r="U30" s="92">
        <f ca="1">VLOOKUP(O30,FPE_FPM_9478!$B$4:$J$30,9, FALSE)</f>
        <v>21270549.371179294</v>
      </c>
      <c r="V30" s="104">
        <f t="shared" ca="1" si="0"/>
        <v>26029678.401507709</v>
      </c>
    </row>
    <row r="31" spans="2:22" x14ac:dyDescent="0.25">
      <c r="H31" s="324" t="s">
        <v>28</v>
      </c>
      <c r="I31" s="324"/>
      <c r="J31" s="99">
        <f t="shared" ref="J31:K31" ca="1" si="1">SUM(J4:J30)</f>
        <v>0.99999999999999989</v>
      </c>
      <c r="K31" s="100">
        <f t="shared" ca="1" si="1"/>
        <v>388835556.6777761</v>
      </c>
      <c r="L31" s="100">
        <f>SUM(L4:L30)</f>
        <v>7258888316.5997009</v>
      </c>
      <c r="N31" s="324" t="s">
        <v>28</v>
      </c>
      <c r="O31" s="324"/>
      <c r="P31" s="103">
        <f t="shared" ref="P31:V31" ca="1" si="2">SUM(P4:P30)</f>
        <v>0.99999999999999989</v>
      </c>
      <c r="Q31" s="100">
        <f t="shared" ca="1" si="2"/>
        <v>155534222.67111042</v>
      </c>
      <c r="R31" s="103">
        <f t="shared" ca="1" si="2"/>
        <v>0.99999999999999967</v>
      </c>
      <c r="S31" s="100">
        <f t="shared" ca="1" si="2"/>
        <v>55992320.161599725</v>
      </c>
      <c r="T31" s="103">
        <f t="shared" ca="1" si="2"/>
        <v>0.99999999999999978</v>
      </c>
      <c r="U31" s="100">
        <f t="shared" ca="1" si="2"/>
        <v>1343815683.8783939</v>
      </c>
      <c r="V31" s="105">
        <f t="shared" ca="1" si="2"/>
        <v>1555342226.7111039</v>
      </c>
    </row>
    <row r="32" spans="2:22" x14ac:dyDescent="0.25">
      <c r="N32" s="324" t="s">
        <v>223</v>
      </c>
      <c r="O32" s="324"/>
      <c r="P32" s="324"/>
      <c r="Q32" s="324"/>
      <c r="R32" s="324"/>
      <c r="S32" s="324"/>
      <c r="T32" s="324"/>
      <c r="U32" s="324"/>
      <c r="V32" s="324"/>
    </row>
    <row r="33" spans="14:22" x14ac:dyDescent="0.25">
      <c r="N33" s="285" t="s">
        <v>26</v>
      </c>
      <c r="O33" s="285"/>
      <c r="P33" s="324" t="s">
        <v>130</v>
      </c>
      <c r="Q33" s="324"/>
      <c r="R33" s="324" t="s">
        <v>131</v>
      </c>
      <c r="S33" s="324"/>
      <c r="T33" s="324" t="s">
        <v>132</v>
      </c>
      <c r="U33" s="324"/>
      <c r="V33" s="285" t="s">
        <v>220</v>
      </c>
    </row>
    <row r="34" spans="14:22" x14ac:dyDescent="0.25">
      <c r="N34" s="285"/>
      <c r="O34" s="285"/>
      <c r="P34" s="106" t="s">
        <v>128</v>
      </c>
      <c r="Q34" s="102" t="s">
        <v>129</v>
      </c>
      <c r="R34" s="106" t="s">
        <v>128</v>
      </c>
      <c r="S34" s="102" t="s">
        <v>129</v>
      </c>
      <c r="T34" s="106" t="s">
        <v>128</v>
      </c>
      <c r="U34" s="102" t="s">
        <v>129</v>
      </c>
      <c r="V34" s="285"/>
    </row>
    <row r="35" spans="14:22" x14ac:dyDescent="0.25">
      <c r="N35" s="87" t="s">
        <v>90</v>
      </c>
      <c r="O35" s="98" t="s">
        <v>91</v>
      </c>
      <c r="P35" s="91">
        <f>VLOOKUP(O35,FPE_FPM_ACORDO!$O$4:$U$30,2,FALSE)</f>
        <v>3.1021110000000001E-2</v>
      </c>
      <c r="Q35" s="92">
        <f>VLOOKUP(O4,FPE_FPM_ACORDO!$O$4:$U$30,3,FALSE)</f>
        <v>22517877.294695418</v>
      </c>
      <c r="R35" s="91">
        <f>VLOOKUP(O35,FPE_FPM_ACORDO!$O$4:$U$30,4,FALSE)</f>
        <v>0</v>
      </c>
      <c r="S35" s="92">
        <f>VLOOKUP(O4,FPE_FPM_ACORDO!$O$4:$U$30,5,FALSE)</f>
        <v>0</v>
      </c>
      <c r="T35" s="91">
        <f>VLOOKUP(O35,FPE_FPM_ACORDO!$O$4:$U$30,6,FALSE)</f>
        <v>3.8782910294813109E-3</v>
      </c>
      <c r="U35" s="92">
        <f>VLOOKUP(O4,FPE_FPM_ACORDO!$O$4:$U$30,7,FALSE)</f>
        <v>24323398.366125874</v>
      </c>
      <c r="V35" s="104">
        <f t="shared" ref="V35:V61" si="3">U35+S35+Q35</f>
        <v>46841275.660821289</v>
      </c>
    </row>
    <row r="36" spans="14:22" x14ac:dyDescent="0.25">
      <c r="N36" s="87" t="s">
        <v>4</v>
      </c>
      <c r="O36" s="98" t="s">
        <v>92</v>
      </c>
      <c r="P36" s="91">
        <f>VLOOKUP(O36,FPE_FPM_ACORDO!$O$4:$U$30,2,FALSE)</f>
        <v>4.3084879999999999E-2</v>
      </c>
      <c r="Q36" s="92">
        <f>VLOOKUP(O5,FPE_FPM_ACORDO!$O$4:$U$30,3,FALSE)</f>
        <v>31274833.205410015</v>
      </c>
      <c r="R36" s="91">
        <f>VLOOKUP(O36,FPE_FPM_ACORDO!$O$4:$U$30,4,FALSE)</f>
        <v>1.0501440000000001E-2</v>
      </c>
      <c r="S36" s="92">
        <f>VLOOKUP(O5,FPE_FPM_ACORDO!$O$4:$U$30,5,FALSE)</f>
        <v>2744236.0844450193</v>
      </c>
      <c r="T36" s="91">
        <f>VLOOKUP(O36,FPE_FPM_ACORDO!$O$4:$U$30,6,FALSE)</f>
        <v>1.8666246255714922E-2</v>
      </c>
      <c r="U36" s="92">
        <f>VLOOKUP(O5,FPE_FPM_ACORDO!$O$4:$U$30,7,FALSE)</f>
        <v>117068714.08737002</v>
      </c>
      <c r="V36" s="104">
        <f t="shared" si="3"/>
        <v>151087783.37722504</v>
      </c>
    </row>
    <row r="37" spans="14:22" x14ac:dyDescent="0.25">
      <c r="N37" s="87" t="s">
        <v>8</v>
      </c>
      <c r="O37" s="98" t="s">
        <v>93</v>
      </c>
      <c r="P37" s="91">
        <f>VLOOKUP(O37,FPE_FPM_ACORDO!$O$4:$U$30,2,FALSE)</f>
        <v>5.428695E-2</v>
      </c>
      <c r="Q37" s="92">
        <f>VLOOKUP(O6,FPE_FPM_ACORDO!$O$4:$U$30,3,FALSE)</f>
        <v>39406290.70988322</v>
      </c>
      <c r="R37" s="91">
        <f>VLOOKUP(O37,FPE_FPM_ACORDO!$O$4:$U$30,4,FALSE)</f>
        <v>0</v>
      </c>
      <c r="S37" s="92">
        <f>VLOOKUP(O6,FPE_FPM_ACORDO!$O$4:$U$30,5,FALSE)</f>
        <v>0</v>
      </c>
      <c r="T37" s="91">
        <f>VLOOKUP(O37,FPE_FPM_ACORDO!$O$4:$U$30,6,FALSE)</f>
        <v>1.4157338798675685E-2</v>
      </c>
      <c r="U37" s="92">
        <f>VLOOKUP(O6,FPE_FPM_ACORDO!$O$4:$U$30,7,FALSE)</f>
        <v>88790291.596670896</v>
      </c>
      <c r="V37" s="104">
        <f t="shared" si="3"/>
        <v>128196582.30655411</v>
      </c>
    </row>
    <row r="38" spans="14:22" x14ac:dyDescent="0.25">
      <c r="N38" s="87" t="s">
        <v>9</v>
      </c>
      <c r="O38" s="98" t="s">
        <v>94</v>
      </c>
      <c r="P38" s="91">
        <f>VLOOKUP(O38,FPE_FPM_ACORDO!$O$4:$U$30,2,FALSE)</f>
        <v>2.7574319999999999E-2</v>
      </c>
      <c r="Q38" s="92">
        <f>VLOOKUP(O7,FPE_FPM_ACORDO!$O$4:$U$30,3,FALSE)</f>
        <v>20015890.928618148</v>
      </c>
      <c r="R38" s="91">
        <f>VLOOKUP(O38,FPE_FPM_ACORDO!$O$4:$U$30,4,FALSE)</f>
        <v>0</v>
      </c>
      <c r="S38" s="92">
        <f>VLOOKUP(O7,FPE_FPM_ACORDO!$O$4:$U$30,5,FALSE)</f>
        <v>0</v>
      </c>
      <c r="T38" s="91">
        <f>VLOOKUP(O38,FPE_FPM_ACORDO!$O$4:$U$30,6,FALSE)</f>
        <v>2.6170581743654381E-3</v>
      </c>
      <c r="U38" s="92">
        <f>VLOOKUP(O7,FPE_FPM_ACORDO!$O$4:$U$30,7,FALSE)</f>
        <v>16413350.116979251</v>
      </c>
      <c r="V38" s="104">
        <f t="shared" si="3"/>
        <v>36429241.045597397</v>
      </c>
    </row>
    <row r="39" spans="14:22" x14ac:dyDescent="0.25">
      <c r="N39" s="87" t="s">
        <v>10</v>
      </c>
      <c r="O39" s="98" t="s">
        <v>95</v>
      </c>
      <c r="P39" s="91">
        <f>VLOOKUP(O39,FPE_FPM_ACORDO!$O$4:$U$30,2,FALSE)</f>
        <v>7.7552780000000002E-2</v>
      </c>
      <c r="Q39" s="92">
        <f>VLOOKUP(O8,FPE_FPM_ACORDO!$O$4:$U$30,3,FALSE)</f>
        <v>56294696.8661827</v>
      </c>
      <c r="R39" s="91">
        <f>VLOOKUP(O39,FPE_FPM_ACORDO!$O$4:$U$30,4,FALSE)</f>
        <v>0.11341559999999996</v>
      </c>
      <c r="S39" s="92">
        <f>VLOOKUP(O8,FPE_FPM_ACORDO!$O$4:$U$30,5,FALSE)</f>
        <v>29637762.255365208</v>
      </c>
      <c r="T39" s="91">
        <f>VLOOKUP(O39,FPE_FPM_ACORDO!$O$4:$U$30,6,FALSE)</f>
        <v>8.4250354721740445E-2</v>
      </c>
      <c r="U39" s="92">
        <f>VLOOKUP(O8,FPE_FPM_ACORDO!$O$4:$U$30,7,FALSE)</f>
        <v>528391223.04299515</v>
      </c>
      <c r="V39" s="104">
        <f t="shared" si="3"/>
        <v>614323682.16454303</v>
      </c>
    </row>
    <row r="40" spans="14:22" x14ac:dyDescent="0.25">
      <c r="N40" s="87" t="s">
        <v>11</v>
      </c>
      <c r="O40" s="98" t="s">
        <v>96</v>
      </c>
      <c r="P40" s="91">
        <f>VLOOKUP(O40,FPE_FPM_ACORDO!$O$4:$U$30,2,FALSE)</f>
        <v>8.6169750000000003E-2</v>
      </c>
      <c r="Q40" s="92">
        <f>VLOOKUP(O9,FPE_FPM_ACORDO!$O$4:$U$30,3,FALSE)</f>
        <v>62549659.151931718</v>
      </c>
      <c r="R40" s="91">
        <f>VLOOKUP(O40,FPE_FPM_ACORDO!$O$4:$U$30,4,FALSE)</f>
        <v>4.2005760000000003E-2</v>
      </c>
      <c r="S40" s="92">
        <f>VLOOKUP(O9,FPE_FPM_ACORDO!$O$4:$U$30,5,FALSE)</f>
        <v>10976944.337780077</v>
      </c>
      <c r="T40" s="91">
        <f>VLOOKUP(O40,FPE_FPM_ACORDO!$O$4:$U$30,6,FALSE)</f>
        <v>4.1904461611224901E-2</v>
      </c>
      <c r="U40" s="92">
        <f>VLOOKUP(O9,FPE_FPM_ACORDO!$O$4:$U$30,7,FALSE)</f>
        <v>262811353.07789665</v>
      </c>
      <c r="V40" s="104">
        <f t="shared" si="3"/>
        <v>336337956.56760842</v>
      </c>
    </row>
    <row r="41" spans="14:22" x14ac:dyDescent="0.25">
      <c r="N41" s="87" t="s">
        <v>97</v>
      </c>
      <c r="O41" s="98" t="s">
        <v>98</v>
      </c>
      <c r="P41" s="91">
        <f>VLOOKUP(O41,FPE_FPM_ACORDO!$O$4:$U$30,2,FALSE)</f>
        <v>1.7233950000000001E-2</v>
      </c>
      <c r="Q41" s="92">
        <f>VLOOKUP(O10,FPE_FPM_ACORDO!$O$4:$U$30,3,FALSE)</f>
        <v>12509931.830386344</v>
      </c>
      <c r="R41" s="91">
        <f>VLOOKUP(O41,FPE_FPM_ACORDO!$O$4:$U$30,4,FALSE)</f>
        <v>0</v>
      </c>
      <c r="S41" s="92">
        <f>VLOOKUP(O10,FPE_FPM_ACORDO!$O$4:$U$30,5,FALSE)</f>
        <v>0</v>
      </c>
      <c r="T41" s="91">
        <f>VLOOKUP(O41,FPE_FPM_ACORDO!$O$4:$U$30,6,FALSE)</f>
        <v>0</v>
      </c>
      <c r="U41" s="92">
        <f>VLOOKUP(O10,FPE_FPM_ACORDO!$O$4:$U$30,7,FALSE)</f>
        <v>0</v>
      </c>
      <c r="V41" s="104">
        <f t="shared" si="3"/>
        <v>12509931.830386344</v>
      </c>
    </row>
    <row r="42" spans="14:22" x14ac:dyDescent="0.25">
      <c r="N42" s="87" t="s">
        <v>12</v>
      </c>
      <c r="O42" s="98" t="s">
        <v>99</v>
      </c>
      <c r="P42" s="91">
        <f>VLOOKUP(O42,FPE_FPM_ACORDO!$O$4:$U$30,2,FALSE)</f>
        <v>1.7233950000000001E-2</v>
      </c>
      <c r="Q42" s="92">
        <f>VLOOKUP(O11,FPE_FPM_ACORDO!$O$4:$U$30,3,FALSE)</f>
        <v>12509931.830386344</v>
      </c>
      <c r="R42" s="91">
        <f>VLOOKUP(O42,FPE_FPM_ACORDO!$O$4:$U$30,4,FALSE)</f>
        <v>2.6253600000000002E-2</v>
      </c>
      <c r="S42" s="92">
        <f>VLOOKUP(O11,FPE_FPM_ACORDO!$O$4:$U$30,5,FALSE)</f>
        <v>6860590.2111125486</v>
      </c>
      <c r="T42" s="91">
        <f>VLOOKUP(O42,FPE_FPM_ACORDO!$O$4:$U$30,6,FALSE)</f>
        <v>1.7499605864732745E-2</v>
      </c>
      <c r="U42" s="92">
        <f>VLOOKUP(O11,FPE_FPM_ACORDO!$O$4:$U$30,7,FALSE)</f>
        <v>109751919.45690943</v>
      </c>
      <c r="V42" s="104">
        <f t="shared" si="3"/>
        <v>129122441.49840832</v>
      </c>
    </row>
    <row r="43" spans="14:22" x14ac:dyDescent="0.25">
      <c r="N43" s="87" t="s">
        <v>100</v>
      </c>
      <c r="O43" s="98" t="s">
        <v>101</v>
      </c>
      <c r="P43" s="91">
        <f>VLOOKUP(O43,FPE_FPM_ACORDO!$O$4:$U$30,2,FALSE)</f>
        <v>3.1021110000000001E-2</v>
      </c>
      <c r="Q43" s="92">
        <f>VLOOKUP(O12,FPE_FPM_ACORDO!$O$4:$U$30,3,FALSE)</f>
        <v>22517877.294695418</v>
      </c>
      <c r="R43" s="91">
        <f>VLOOKUP(O43,FPE_FPM_ACORDO!$O$4:$U$30,4,FALSE)</f>
        <v>3.780522E-2</v>
      </c>
      <c r="S43" s="92">
        <f>VLOOKUP(O12,FPE_FPM_ACORDO!$O$4:$U$30,5,FALSE)</f>
        <v>9879259.3115213271</v>
      </c>
      <c r="T43" s="91">
        <f>VLOOKUP(O43,FPE_FPM_ACORDO!$O$4:$U$30,6,FALSE)</f>
        <v>3.8562194545167752E-2</v>
      </c>
      <c r="U43" s="92">
        <f>VLOOKUP(O12,FPE_FPM_ACORDO!$O$4:$U$30,7,FALSE)</f>
        <v>241849725.21765757</v>
      </c>
      <c r="V43" s="104">
        <f t="shared" si="3"/>
        <v>274246861.82387429</v>
      </c>
    </row>
    <row r="44" spans="14:22" x14ac:dyDescent="0.25">
      <c r="N44" s="87" t="s">
        <v>13</v>
      </c>
      <c r="O44" s="98" t="s">
        <v>102</v>
      </c>
      <c r="P44" s="91">
        <f>VLOOKUP(O44,FPE_FPM_ACORDO!$O$4:$U$30,2,FALSE)</f>
        <v>5.3856099999999997E-2</v>
      </c>
      <c r="Q44" s="92">
        <f>VLOOKUP(O13,FPE_FPM_ACORDO!$O$4:$U$30,3,FALSE)</f>
        <v>39093541.506762519</v>
      </c>
      <c r="R44" s="91">
        <f>VLOOKUP(O44,FPE_FPM_ACORDO!$O$4:$U$30,4,FALSE)</f>
        <v>6.5633999999999998E-2</v>
      </c>
      <c r="S44" s="92">
        <f>VLOOKUP(O13,FPE_FPM_ACORDO!$O$4:$U$30,5,FALSE)</f>
        <v>17151475.527781371</v>
      </c>
      <c r="T44" s="91">
        <f>VLOOKUP(O44,FPE_FPM_ACORDO!$O$4:$U$30,6,FALSE)</f>
        <v>4.3701718429765002E-2</v>
      </c>
      <c r="U44" s="92">
        <f>VLOOKUP(O13,FPE_FPM_ACORDO!$O$4:$U$30,7,FALSE)</f>
        <v>274083171.83293051</v>
      </c>
      <c r="V44" s="104">
        <f t="shared" si="3"/>
        <v>330328188.86747438</v>
      </c>
    </row>
    <row r="45" spans="14:22" x14ac:dyDescent="0.25">
      <c r="N45" s="87" t="s">
        <v>14</v>
      </c>
      <c r="O45" s="98" t="s">
        <v>103</v>
      </c>
      <c r="P45" s="91">
        <f>VLOOKUP(O45,FPE_FPM_ACORDO!$O$4:$U$30,2,FALSE)</f>
        <v>5.1701850000000001E-2</v>
      </c>
      <c r="Q45" s="92">
        <f>VLOOKUP(O14,FPE_FPM_ACORDO!$O$4:$U$30,3,FALSE)</f>
        <v>37529795.491159029</v>
      </c>
      <c r="R45" s="91">
        <f>VLOOKUP(O45,FPE_FPM_ACORDO!$O$4:$U$30,4,FALSE)</f>
        <v>0.10081392</v>
      </c>
      <c r="S45" s="92">
        <f>VLOOKUP(O14,FPE_FPM_ACORDO!$O$4:$U$30,5,FALSE)</f>
        <v>26344691.497390207</v>
      </c>
      <c r="T45" s="91">
        <f>VLOOKUP(O45,FPE_FPM_ACORDO!$O$4:$U$30,6,FALSE)</f>
        <v>0.13369068264228354</v>
      </c>
      <c r="U45" s="92">
        <f>VLOOKUP(O14,FPE_FPM_ACORDO!$O$4:$U$30,7,FALSE)</f>
        <v>838465114.40954828</v>
      </c>
      <c r="V45" s="104">
        <f t="shared" si="3"/>
        <v>902339601.39809752</v>
      </c>
    </row>
    <row r="46" spans="14:22" x14ac:dyDescent="0.25">
      <c r="N46" s="87" t="s">
        <v>104</v>
      </c>
      <c r="O46" s="98" t="s">
        <v>105</v>
      </c>
      <c r="P46" s="91">
        <f>VLOOKUP(O46,FPE_FPM_ACORDO!$O$4:$U$30,2,FALSE)</f>
        <v>1.551056E-2</v>
      </c>
      <c r="Q46" s="92">
        <f>VLOOKUP(O15,FPE_FPM_ACORDO!$O$4:$U$30,3,FALSE)</f>
        <v>11258942.276791867</v>
      </c>
      <c r="R46" s="91">
        <f>VLOOKUP(O46,FPE_FPM_ACORDO!$O$4:$U$30,4,FALSE)</f>
        <v>4.7256499999999996E-3</v>
      </c>
      <c r="S46" s="92">
        <f>VLOOKUP(O15,FPE_FPM_ACORDO!$O$4:$U$30,5,FALSE)</f>
        <v>1234906.7606402175</v>
      </c>
      <c r="T46" s="91">
        <f>VLOOKUP(O46,FPE_FPM_ACORDO!$O$4:$U$30,6,FALSE)</f>
        <v>1.4188869620053578E-2</v>
      </c>
      <c r="U46" s="92">
        <f>VLOOKUP(O15,FPE_FPM_ACORDO!$O$4:$U$30,7,FALSE)</f>
        <v>88988042.802899539</v>
      </c>
      <c r="V46" s="104">
        <f t="shared" si="3"/>
        <v>101481891.84033163</v>
      </c>
    </row>
    <row r="47" spans="14:22" x14ac:dyDescent="0.25">
      <c r="N47" s="87" t="s">
        <v>106</v>
      </c>
      <c r="O47" s="98" t="s">
        <v>107</v>
      </c>
      <c r="P47" s="91">
        <f>VLOOKUP(O47,FPE_FPM_ACORDO!$O$4:$U$30,2,FALSE)</f>
        <v>1.551056E-2</v>
      </c>
      <c r="Q47" s="92">
        <f>VLOOKUP(O16,FPE_FPM_ACORDO!$O$4:$U$30,3,FALSE)</f>
        <v>11258942.276791867</v>
      </c>
      <c r="R47" s="91">
        <f>VLOOKUP(O47,FPE_FPM_ACORDO!$O$4:$U$30,4,FALSE)</f>
        <v>9.4512999999999993E-3</v>
      </c>
      <c r="S47" s="92">
        <f>VLOOKUP(O16,FPE_FPM_ACORDO!$O$4:$U$30,5,FALSE)</f>
        <v>2469813.5212804349</v>
      </c>
      <c r="T47" s="91">
        <f>VLOOKUP(O47,FPE_FPM_ACORDO!$O$4:$U$30,6,FALSE)</f>
        <v>2.2260759892795141E-2</v>
      </c>
      <c r="U47" s="92">
        <f>VLOOKUP(O16,FPE_FPM_ACORDO!$O$4:$U$30,7,FALSE)</f>
        <v>139612351.59743777</v>
      </c>
      <c r="V47" s="104">
        <f t="shared" si="3"/>
        <v>153341107.39551008</v>
      </c>
    </row>
    <row r="48" spans="14:22" x14ac:dyDescent="0.25">
      <c r="N48" s="87" t="s">
        <v>15</v>
      </c>
      <c r="O48" s="98" t="s">
        <v>108</v>
      </c>
      <c r="P48" s="91">
        <f>VLOOKUP(O48,FPE_FPM_ACORDO!$O$4:$U$30,2,FALSE)</f>
        <v>4.6531669999999997E-2</v>
      </c>
      <c r="Q48" s="92">
        <f>VLOOKUP(O17,FPE_FPM_ACORDO!$O$4:$U$30,3,FALSE)</f>
        <v>33776819.571487285</v>
      </c>
      <c r="R48" s="91">
        <f>VLOOKUP(O48,FPE_FPM_ACORDO!$O$4:$U$30,4,FALSE)</f>
        <v>5.6707799999999989E-2</v>
      </c>
      <c r="S48" s="92">
        <f>VLOOKUP(O17,FPE_FPM_ACORDO!$O$4:$U$30,5,FALSE)</f>
        <v>14818881.127682606</v>
      </c>
      <c r="T48" s="91">
        <f>VLOOKUP(O48,FPE_FPM_ACORDO!$O$4:$U$30,6,FALSE)</f>
        <v>3.9161280151347864E-2</v>
      </c>
      <c r="U48" s="92">
        <f>VLOOKUP(O17,FPE_FPM_ACORDO!$O$4:$U$30,7,FALSE)</f>
        <v>245606998.13600266</v>
      </c>
      <c r="V48" s="104">
        <f t="shared" si="3"/>
        <v>294202698.83517253</v>
      </c>
    </row>
    <row r="49" spans="14:22" x14ac:dyDescent="0.25">
      <c r="N49" s="87" t="s">
        <v>16</v>
      </c>
      <c r="O49" s="98" t="s">
        <v>109</v>
      </c>
      <c r="P49" s="91">
        <f>VLOOKUP(O49,FPE_FPM_ACORDO!$O$4:$U$30,2,FALSE)</f>
        <v>3.4467900000000003E-2</v>
      </c>
      <c r="Q49" s="92">
        <f>VLOOKUP(O18,FPE_FPM_ACORDO!$O$4:$U$30,3,FALSE)</f>
        <v>25019863.660772689</v>
      </c>
      <c r="R49" s="91">
        <f>VLOOKUP(O49,FPE_FPM_ACORDO!$O$4:$U$30,4,FALSE)</f>
        <v>1.0501440000000001E-2</v>
      </c>
      <c r="S49" s="92">
        <f>VLOOKUP(O18,FPE_FPM_ACORDO!$O$4:$U$30,5,FALSE)</f>
        <v>2744236.0844450193</v>
      </c>
      <c r="T49" s="91">
        <f>VLOOKUP(O49,FPE_FPM_ACORDO!$O$4:$U$30,6,FALSE)</f>
        <v>3.0458773451048266E-2</v>
      </c>
      <c r="U49" s="92">
        <f>VLOOKUP(O18,FPE_FPM_ACORDO!$O$4:$U$30,7,FALSE)</f>
        <v>191027665.21689051</v>
      </c>
      <c r="V49" s="104">
        <f t="shared" si="3"/>
        <v>218791764.96210822</v>
      </c>
    </row>
    <row r="50" spans="14:22" x14ac:dyDescent="0.25">
      <c r="N50" s="87" t="s">
        <v>17</v>
      </c>
      <c r="O50" s="98" t="s">
        <v>110</v>
      </c>
      <c r="P50" s="91">
        <f>VLOOKUP(O50,FPE_FPM_ACORDO!$O$4:$U$30,2,FALSE)</f>
        <v>5.428695E-2</v>
      </c>
      <c r="Q50" s="92">
        <f>VLOOKUP(O19,FPE_FPM_ACORDO!$O$4:$U$30,3,FALSE)</f>
        <v>39406290.70988322</v>
      </c>
      <c r="R50" s="91">
        <f>VLOOKUP(O50,FPE_FPM_ACORDO!$O$4:$U$30,4,FALSE)</f>
        <v>6.6159099999999985E-2</v>
      </c>
      <c r="S50" s="92">
        <f>VLOOKUP(O19,FPE_FPM_ACORDO!$O$4:$U$30,5,FALSE)</f>
        <v>17288694.648963042</v>
      </c>
      <c r="T50" s="91">
        <f>VLOOKUP(O50,FPE_FPM_ACORDO!$O$4:$U$30,6,FALSE)</f>
        <v>4.3417941037363947E-2</v>
      </c>
      <c r="U50" s="92">
        <f>VLOOKUP(O19,FPE_FPM_ACORDO!$O$4:$U$30,7,FALSE)</f>
        <v>272303410.97687256</v>
      </c>
      <c r="V50" s="104">
        <f t="shared" si="3"/>
        <v>328998396.33571881</v>
      </c>
    </row>
    <row r="51" spans="14:22" x14ac:dyDescent="0.25">
      <c r="N51" s="87" t="s">
        <v>111</v>
      </c>
      <c r="O51" s="98" t="s">
        <v>112</v>
      </c>
      <c r="P51" s="91">
        <f>VLOOKUP(O51,FPE_FPM_ACORDO!$O$4:$U$30,2,FALSE)</f>
        <v>5.3856099999999997E-2</v>
      </c>
      <c r="Q51" s="92">
        <f>VLOOKUP(O20,FPE_FPM_ACORDO!$O$4:$U$30,3,FALSE)</f>
        <v>39093541.506762519</v>
      </c>
      <c r="R51" s="91">
        <f>VLOOKUP(O51,FPE_FPM_ACORDO!$O$4:$U$30,4,FALSE)</f>
        <v>1.3126799999999999E-2</v>
      </c>
      <c r="S51" s="92">
        <f>VLOOKUP(O20,FPE_FPM_ACORDO!$O$4:$U$30,5,FALSE)</f>
        <v>3430295.1055562738</v>
      </c>
      <c r="T51" s="91">
        <f>VLOOKUP(O51,FPE_FPM_ACORDO!$O$4:$U$30,6,FALSE)</f>
        <v>2.7526407062903845E-2</v>
      </c>
      <c r="U51" s="92">
        <f>VLOOKUP(O20,FPE_FPM_ACORDO!$O$4:$U$30,7,FALSE)</f>
        <v>172636803.03762451</v>
      </c>
      <c r="V51" s="104">
        <f t="shared" si="3"/>
        <v>215160639.64994329</v>
      </c>
    </row>
    <row r="52" spans="14:22" x14ac:dyDescent="0.25">
      <c r="N52" s="87" t="s">
        <v>18</v>
      </c>
      <c r="O52" s="98" t="s">
        <v>113</v>
      </c>
      <c r="P52" s="91">
        <f>VLOOKUP(O52,FPE_FPM_ACORDO!$O$4:$U$30,2,FALSE)</f>
        <v>3.1021110000000001E-2</v>
      </c>
      <c r="Q52" s="92">
        <f>VLOOKUP(O21,FPE_FPM_ACORDO!$O$4:$U$30,3,FALSE)</f>
        <v>22517877.294695418</v>
      </c>
      <c r="R52" s="91">
        <f>VLOOKUP(O52,FPE_FPM_ACORDO!$O$4:$U$30,4,FALSE)</f>
        <v>4.2530849999999988E-2</v>
      </c>
      <c r="S52" s="92">
        <f>VLOOKUP(O21,FPE_FPM_ACORDO!$O$4:$U$30,5,FALSE)</f>
        <v>11114160.845761953</v>
      </c>
      <c r="T52" s="91">
        <f>VLOOKUP(O52,FPE_FPM_ACORDO!$O$4:$U$30,6,FALSE)</f>
        <v>6.5457985180514058E-2</v>
      </c>
      <c r="U52" s="92">
        <f>VLOOKUP(O21,FPE_FPM_ACORDO!$O$4:$U$30,7,FALSE)</f>
        <v>410531504.13071126</v>
      </c>
      <c r="V52" s="104">
        <f t="shared" si="3"/>
        <v>444163542.27116865</v>
      </c>
    </row>
    <row r="53" spans="14:22" x14ac:dyDescent="0.25">
      <c r="N53" s="87" t="s">
        <v>19</v>
      </c>
      <c r="O53" s="98" t="s">
        <v>114</v>
      </c>
      <c r="P53" s="91">
        <f>VLOOKUP(O53,FPE_FPM_ACORDO!$O$4:$U$30,2,FALSE)</f>
        <v>3.0159410000000001E-2</v>
      </c>
      <c r="Q53" s="92">
        <f>VLOOKUP(O22,FPE_FPM_ACORDO!$O$4:$U$30,3,FALSE)</f>
        <v>21892378.88845402</v>
      </c>
      <c r="R53" s="91">
        <f>VLOOKUP(O53,FPE_FPM_ACORDO!$O$4:$U$30,4,FALSE)</f>
        <v>7.7185709999999991E-2</v>
      </c>
      <c r="S53" s="92">
        <f>VLOOKUP(O22,FPE_FPM_ACORDO!$O$4:$U$30,5,FALSE)</f>
        <v>20170168.146988291</v>
      </c>
      <c r="T53" s="91">
        <f>VLOOKUP(O53,FPE_FPM_ACORDO!$O$4:$U$30,6,FALSE)</f>
        <v>3.0521835093804135E-2</v>
      </c>
      <c r="U53" s="92">
        <f>VLOOKUP(O22,FPE_FPM_ACORDO!$O$4:$U$30,7,FALSE)</f>
        <v>191423167.62934831</v>
      </c>
      <c r="V53" s="104">
        <f t="shared" si="3"/>
        <v>233485714.66479063</v>
      </c>
    </row>
    <row r="54" spans="14:22" x14ac:dyDescent="0.25">
      <c r="N54" s="87" t="s">
        <v>24</v>
      </c>
      <c r="O54" s="98" t="s">
        <v>115</v>
      </c>
      <c r="P54" s="91">
        <f>VLOOKUP(O54,FPE_FPM_ACORDO!$O$4:$U$30,2,FALSE)</f>
        <v>3.1021110000000001E-2</v>
      </c>
      <c r="Q54" s="92">
        <f>VLOOKUP(O23,FPE_FPM_ACORDO!$O$4:$U$30,3,FALSE)</f>
        <v>22517877.294695418</v>
      </c>
      <c r="R54" s="91">
        <f>VLOOKUP(O54,FPE_FPM_ACORDO!$O$4:$U$30,4,FALSE)</f>
        <v>1.8902599999999999E-2</v>
      </c>
      <c r="S54" s="92">
        <f>VLOOKUP(O23,FPE_FPM_ACORDO!$O$4:$U$30,5,FALSE)</f>
        <v>4939627.0425608698</v>
      </c>
      <c r="T54" s="91">
        <f>VLOOKUP(O54,FPE_FPM_ACORDO!$O$4:$U$30,6,FALSE)</f>
        <v>2.3080561248620447E-2</v>
      </c>
      <c r="U54" s="92">
        <f>VLOOKUP(O23,FPE_FPM_ACORDO!$O$4:$U$30,7,FALSE)</f>
        <v>144753882.95938301</v>
      </c>
      <c r="V54" s="104">
        <f t="shared" si="3"/>
        <v>172211387.29663929</v>
      </c>
    </row>
    <row r="55" spans="14:22" x14ac:dyDescent="0.25">
      <c r="N55" s="87" t="s">
        <v>116</v>
      </c>
      <c r="O55" s="98" t="s">
        <v>117</v>
      </c>
      <c r="P55" s="91">
        <f>VLOOKUP(O55,FPE_FPM_ACORDO!$O$4:$U$30,2,FALSE)</f>
        <v>2.4127530000000001E-2</v>
      </c>
      <c r="Q55" s="92">
        <f>VLOOKUP(O24,FPE_FPM_ACORDO!$O$4:$U$30,3,FALSE)</f>
        <v>17513904.562540881</v>
      </c>
      <c r="R55" s="91">
        <f>VLOOKUP(O55,FPE_FPM_ACORDO!$O$4:$U$30,4,FALSE)</f>
        <v>0</v>
      </c>
      <c r="S55" s="92">
        <f>VLOOKUP(O24,FPE_FPM_ACORDO!$O$4:$U$30,5,FALSE)</f>
        <v>0</v>
      </c>
      <c r="T55" s="91">
        <f>VLOOKUP(O55,FPE_FPM_ACORDO!$O$4:$U$30,6,FALSE)</f>
        <v>9.8376162699038133E-3</v>
      </c>
      <c r="U55" s="92">
        <f>VLOOKUP(O24,FPE_FPM_ACORDO!$O$4:$U$30,7,FALSE)</f>
        <v>61698376.343343675</v>
      </c>
      <c r="V55" s="104">
        <f t="shared" si="3"/>
        <v>79212280.905884564</v>
      </c>
    </row>
    <row r="56" spans="14:22" x14ac:dyDescent="0.25">
      <c r="N56" s="87" t="s">
        <v>118</v>
      </c>
      <c r="O56" s="98" t="s">
        <v>119</v>
      </c>
      <c r="P56" s="91">
        <f>VLOOKUP(O56,FPE_FPM_ACORDO!$O$4:$U$30,2,FALSE)</f>
        <v>4.3084879999999999E-2</v>
      </c>
      <c r="Q56" s="92">
        <f>VLOOKUP(O25,FPE_FPM_ACORDO!$O$4:$U$30,3,FALSE)</f>
        <v>31274833.205410015</v>
      </c>
      <c r="R56" s="91">
        <f>VLOOKUP(O56,FPE_FPM_ACORDO!$O$4:$U$30,4,FALSE)</f>
        <v>0</v>
      </c>
      <c r="S56" s="92">
        <f>VLOOKUP(O25,FPE_FPM_ACORDO!$O$4:$U$30,5,FALSE)</f>
        <v>0</v>
      </c>
      <c r="T56" s="91">
        <f>VLOOKUP(O56,FPE_FPM_ACORDO!$O$4:$U$30,6,FALSE)</f>
        <v>1.8918492826738101E-3</v>
      </c>
      <c r="U56" s="92">
        <f>VLOOKUP(O25,FPE_FPM_ACORDO!$O$4:$U$30,7,FALSE)</f>
        <v>11865072.373719936</v>
      </c>
      <c r="V56" s="104">
        <f t="shared" si="3"/>
        <v>43139905.579129949</v>
      </c>
    </row>
    <row r="57" spans="14:22" x14ac:dyDescent="0.25">
      <c r="N57" s="87" t="s">
        <v>20</v>
      </c>
      <c r="O57" s="98" t="s">
        <v>120</v>
      </c>
      <c r="P57" s="91">
        <f>VLOOKUP(O57,FPE_FPM_ACORDO!$O$4:$U$30,2,FALSE)</f>
        <v>2.7143469999999999E-2</v>
      </c>
      <c r="Q57" s="92">
        <f>VLOOKUP(O26,FPE_FPM_ACORDO!$O$4:$U$30,3,FALSE)</f>
        <v>19703141.725497451</v>
      </c>
      <c r="R57" s="91">
        <f>VLOOKUP(O57,FPE_FPM_ACORDO!$O$4:$U$30,4,FALSE)</f>
        <v>5.1982149999999984E-2</v>
      </c>
      <c r="S57" s="92">
        <f>VLOOKUP(O26,FPE_FPM_ACORDO!$O$4:$U$30,5,FALSE)</f>
        <v>13583974.367042387</v>
      </c>
      <c r="T57" s="91">
        <f>VLOOKUP(O57,FPE_FPM_ACORDO!$O$4:$U$30,6,FALSE)</f>
        <v>7.52640706290401E-2</v>
      </c>
      <c r="U57" s="92">
        <f>VLOOKUP(O26,FPE_FPM_ACORDO!$O$4:$U$30,7,FALSE)</f>
        <v>472032129.26782703</v>
      </c>
      <c r="V57" s="104">
        <f t="shared" si="3"/>
        <v>505319245.36036682</v>
      </c>
    </row>
    <row r="58" spans="14:22" x14ac:dyDescent="0.25">
      <c r="N58" s="87" t="s">
        <v>21</v>
      </c>
      <c r="O58" s="98" t="s">
        <v>121</v>
      </c>
      <c r="P58" s="91">
        <f>VLOOKUP(O58,FPE_FPM_ACORDO!$O$4:$U$30,2,FALSE)</f>
        <v>1.378716E-2</v>
      </c>
      <c r="Q58" s="92">
        <f>VLOOKUP(O27,FPE_FPM_ACORDO!$O$4:$U$30,3,FALSE)</f>
        <v>10007945.464309074</v>
      </c>
      <c r="R58" s="91">
        <f>VLOOKUP(O58,FPE_FPM_ACORDO!$O$4:$U$30,4,FALSE)</f>
        <v>3.780522E-2</v>
      </c>
      <c r="S58" s="92">
        <f>VLOOKUP(O27,FPE_FPM_ACORDO!$O$4:$U$30,5,FALSE)</f>
        <v>9879259.3115213271</v>
      </c>
      <c r="T58" s="91">
        <f>VLOOKUP(O58,FPE_FPM_ACORDO!$O$4:$U$30,6,FALSE)</f>
        <v>4.7012454674444183E-2</v>
      </c>
      <c r="U58" s="92">
        <f>VLOOKUP(O27,FPE_FPM_ACORDO!$O$4:$U$30,7,FALSE)</f>
        <v>294847048.48694044</v>
      </c>
      <c r="V58" s="104">
        <f t="shared" si="3"/>
        <v>314734253.26277089</v>
      </c>
    </row>
    <row r="59" spans="14:22" x14ac:dyDescent="0.25">
      <c r="N59" s="87" t="s">
        <v>25</v>
      </c>
      <c r="O59" s="98" t="s">
        <v>122</v>
      </c>
      <c r="P59" s="91">
        <f>VLOOKUP(O59,FPE_FPM_ACORDO!$O$4:$U$30,2,FALSE)</f>
        <v>3.1021110000000001E-2</v>
      </c>
      <c r="Q59" s="92">
        <f>VLOOKUP(O28,FPE_FPM_ACORDO!$O$4:$U$30,3,FALSE)</f>
        <v>22517877.294695418</v>
      </c>
      <c r="R59" s="91">
        <f>VLOOKUP(O59,FPE_FPM_ACORDO!$O$4:$U$30,4,FALSE)</f>
        <v>9.4512999999999993E-3</v>
      </c>
      <c r="S59" s="92">
        <f>VLOOKUP(O28,FPE_FPM_ACORDO!$O$4:$U$30,5,FALSE)</f>
        <v>2469813.5212804349</v>
      </c>
      <c r="T59" s="91">
        <f>VLOOKUP(O59,FPE_FPM_ACORDO!$O$4:$U$30,6,FALSE)</f>
        <v>1.3085290871827186E-2</v>
      </c>
      <c r="U59" s="92">
        <f>VLOOKUP(O28,FPE_FPM_ACORDO!$O$4:$U$30,7,FALSE)</f>
        <v>82066750.584896237</v>
      </c>
      <c r="V59" s="104">
        <f t="shared" si="3"/>
        <v>107054441.4008721</v>
      </c>
    </row>
    <row r="60" spans="14:22" x14ac:dyDescent="0.25">
      <c r="N60" s="87" t="s">
        <v>22</v>
      </c>
      <c r="O60" s="98" t="s">
        <v>123</v>
      </c>
      <c r="P60" s="91">
        <f>VLOOKUP(O60,FPE_FPM_ACORDO!$O$4:$U$30,2,FALSE)</f>
        <v>3.0159410000000001E-2</v>
      </c>
      <c r="Q60" s="92">
        <f>VLOOKUP(O29,FPE_FPM_ACORDO!$O$4:$U$30,3,FALSE)</f>
        <v>21892378.88845402</v>
      </c>
      <c r="R60" s="91">
        <f>VLOOKUP(O60,FPE_FPM_ACORDO!$O$4:$U$30,4,FALSE)</f>
        <v>0.19663976999999974</v>
      </c>
      <c r="S60" s="92">
        <f>VLOOKUP(O29,FPE_FPM_ACORDO!$O$4:$U$30,5,FALSE)</f>
        <v>51385900.645146616</v>
      </c>
      <c r="T60" s="91">
        <f>VLOOKUP(O60,FPE_FPM_ACORDO!$O$4:$U$30,6,FALSE)</f>
        <v>0.14207788112880371</v>
      </c>
      <c r="U60" s="92">
        <f>VLOOKUP(O29,FPE_FPM_ACORDO!$O$4:$U$30,7,FALSE)</f>
        <v>891066935.26637089</v>
      </c>
      <c r="V60" s="104">
        <f t="shared" si="3"/>
        <v>964345214.79997158</v>
      </c>
    </row>
    <row r="61" spans="14:22" x14ac:dyDescent="0.25">
      <c r="N61" s="87" t="s">
        <v>124</v>
      </c>
      <c r="O61" s="98" t="s">
        <v>125</v>
      </c>
      <c r="P61" s="91">
        <f>VLOOKUP(O61,FPE_FPM_ACORDO!$O$4:$U$30,2,FALSE)</f>
        <v>2.7574319999999999E-2</v>
      </c>
      <c r="Q61" s="92">
        <f>VLOOKUP(O30,FPE_FPM_ACORDO!$O$4:$U$30,3,FALSE)</f>
        <v>20015890.928618148</v>
      </c>
      <c r="R61" s="91">
        <f>VLOOKUP(O61,FPE_FPM_ACORDO!$O$4:$U$30,4,FALSE)</f>
        <v>8.4007700000000001E-3</v>
      </c>
      <c r="S61" s="92">
        <f>VLOOKUP(O30,FPE_FPM_ACORDO!$O$4:$U$30,5,FALSE)</f>
        <v>2195289.0433238856</v>
      </c>
      <c r="T61" s="91">
        <f>VLOOKUP(O61,FPE_FPM_ACORDO!$O$4:$U$30,6,FALSE)</f>
        <v>1.5828472331704185E-2</v>
      </c>
      <c r="U61" s="92">
        <f>VLOOKUP(O30,FPE_FPM_ACORDO!$O$4:$U$30,7,FALSE)</f>
        <v>99271105.526789978</v>
      </c>
      <c r="V61" s="104">
        <f t="shared" si="3"/>
        <v>121482285.49873202</v>
      </c>
    </row>
    <row r="62" spans="14:22" x14ac:dyDescent="0.25">
      <c r="N62" s="324" t="s">
        <v>28</v>
      </c>
      <c r="O62" s="324"/>
      <c r="P62" s="103">
        <f t="shared" ref="P62:V62" si="4">SUM(P35:P61)</f>
        <v>0.99999999999999989</v>
      </c>
      <c r="Q62" s="100">
        <f t="shared" si="4"/>
        <v>725888831.65997005</v>
      </c>
      <c r="R62" s="103">
        <f t="shared" si="4"/>
        <v>0.99999999999999967</v>
      </c>
      <c r="S62" s="100">
        <f t="shared" si="4"/>
        <v>261319979.39758915</v>
      </c>
      <c r="T62" s="103">
        <f t="shared" si="4"/>
        <v>0.99999999999999978</v>
      </c>
      <c r="U62" s="100">
        <f t="shared" si="4"/>
        <v>6271679505.542141</v>
      </c>
      <c r="V62" s="105">
        <f t="shared" si="4"/>
        <v>7258888316.5997019</v>
      </c>
    </row>
  </sheetData>
  <mergeCells count="25">
    <mergeCell ref="H2:L2"/>
    <mergeCell ref="N1:V1"/>
    <mergeCell ref="N32:V32"/>
    <mergeCell ref="V33:V34"/>
    <mergeCell ref="N33:O34"/>
    <mergeCell ref="N62:O62"/>
    <mergeCell ref="P33:Q33"/>
    <mergeCell ref="R33:S33"/>
    <mergeCell ref="T33:U33"/>
    <mergeCell ref="V2:V3"/>
    <mergeCell ref="N31:O31"/>
    <mergeCell ref="N2:O3"/>
    <mergeCell ref="P2:Q2"/>
    <mergeCell ref="R2:S2"/>
    <mergeCell ref="T2:U2"/>
    <mergeCell ref="B3:C3"/>
    <mergeCell ref="D3:E3"/>
    <mergeCell ref="B4:E4"/>
    <mergeCell ref="H3:I3"/>
    <mergeCell ref="H31:I31"/>
    <mergeCell ref="B7:E7"/>
    <mergeCell ref="B10:E10"/>
    <mergeCell ref="B6:C6"/>
    <mergeCell ref="B8:C8"/>
    <mergeCell ref="B9:C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X189"/>
  <sheetViews>
    <sheetView topLeftCell="U4" zoomScale="120" zoomScaleNormal="120" workbookViewId="0">
      <selection activeCell="P2" sqref="P2:Q3"/>
    </sheetView>
  </sheetViews>
  <sheetFormatPr defaultColWidth="9.140625" defaultRowHeight="10.5" x14ac:dyDescent="0.15"/>
  <cols>
    <col min="1" max="1" width="7.140625" style="88" customWidth="1"/>
    <col min="2" max="2" width="17.85546875" style="88" bestFit="1" customWidth="1"/>
    <col min="3" max="7" width="23" style="88" bestFit="1" customWidth="1"/>
    <col min="8" max="8" width="23" style="88" customWidth="1"/>
    <col min="9" max="10" width="21.85546875" style="88" bestFit="1" customWidth="1"/>
    <col min="11" max="11" width="23.85546875" style="88" customWidth="1"/>
    <col min="12" max="14" width="21.85546875" style="88" bestFit="1" customWidth="1"/>
    <col min="15" max="15" width="18.5703125" style="88" bestFit="1" customWidth="1"/>
    <col min="16" max="16" width="3.5703125" style="88" bestFit="1" customWidth="1"/>
    <col min="17" max="17" width="17.85546875" style="88" bestFit="1" customWidth="1"/>
    <col min="18" max="18" width="11.28515625" style="88" customWidth="1"/>
    <col min="19" max="20" width="23" style="88" bestFit="1" customWidth="1"/>
    <col min="21" max="21" width="19" style="88" bestFit="1" customWidth="1"/>
    <col min="22" max="23" width="23" style="88" bestFit="1" customWidth="1"/>
    <col min="24" max="24" width="19" style="88" bestFit="1" customWidth="1"/>
    <col min="25" max="16384" width="9.140625" style="88"/>
  </cols>
  <sheetData>
    <row r="2" spans="1:24" x14ac:dyDescent="0.15">
      <c r="A2" s="343"/>
      <c r="B2" s="344"/>
      <c r="C2" s="301" t="s">
        <v>29</v>
      </c>
      <c r="D2" s="302"/>
      <c r="E2" s="302"/>
      <c r="F2" s="303"/>
      <c r="G2" s="301" t="s">
        <v>145</v>
      </c>
      <c r="H2" s="302"/>
      <c r="I2" s="302"/>
      <c r="J2" s="303"/>
      <c r="K2" s="324" t="s">
        <v>134</v>
      </c>
      <c r="L2" s="324"/>
      <c r="M2" s="324"/>
      <c r="N2" s="324"/>
      <c r="P2" s="304" t="s">
        <v>264</v>
      </c>
      <c r="Q2" s="304"/>
      <c r="R2" s="339" t="s">
        <v>201</v>
      </c>
      <c r="S2" s="285" t="s">
        <v>76</v>
      </c>
      <c r="T2" s="285"/>
      <c r="U2" s="285"/>
      <c r="V2" s="285" t="s">
        <v>27</v>
      </c>
      <c r="W2" s="285"/>
      <c r="X2" s="285"/>
    </row>
    <row r="3" spans="1:24" x14ac:dyDescent="0.15">
      <c r="A3" s="345"/>
      <c r="B3" s="330"/>
      <c r="C3" s="301" t="s">
        <v>26</v>
      </c>
      <c r="D3" s="303"/>
      <c r="E3" s="301" t="s">
        <v>27</v>
      </c>
      <c r="F3" s="303"/>
      <c r="G3" s="301" t="s">
        <v>26</v>
      </c>
      <c r="H3" s="303"/>
      <c r="I3" s="301" t="s">
        <v>27</v>
      </c>
      <c r="J3" s="303"/>
      <c r="K3" s="301" t="s">
        <v>126</v>
      </c>
      <c r="L3" s="303"/>
      <c r="M3" s="324" t="s">
        <v>127</v>
      </c>
      <c r="N3" s="324"/>
      <c r="P3" s="304"/>
      <c r="Q3" s="304"/>
      <c r="R3" s="340"/>
      <c r="S3" s="151" t="s">
        <v>144</v>
      </c>
      <c r="T3" s="151" t="s">
        <v>166</v>
      </c>
      <c r="U3" s="127" t="s">
        <v>202</v>
      </c>
      <c r="V3" s="151" t="s">
        <v>144</v>
      </c>
      <c r="W3" s="151" t="s">
        <v>166</v>
      </c>
      <c r="X3" s="127" t="s">
        <v>202</v>
      </c>
    </row>
    <row r="4" spans="1:24" x14ac:dyDescent="0.15">
      <c r="A4" s="346"/>
      <c r="B4" s="331"/>
      <c r="C4" s="151" t="s">
        <v>144</v>
      </c>
      <c r="D4" s="151" t="s">
        <v>166</v>
      </c>
      <c r="E4" s="151" t="s">
        <v>144</v>
      </c>
      <c r="F4" s="151" t="s">
        <v>166</v>
      </c>
      <c r="G4" s="151" t="s">
        <v>144</v>
      </c>
      <c r="H4" s="151" t="s">
        <v>166</v>
      </c>
      <c r="I4" s="151" t="s">
        <v>144</v>
      </c>
      <c r="J4" s="151" t="s">
        <v>166</v>
      </c>
      <c r="K4" s="151" t="s">
        <v>144</v>
      </c>
      <c r="L4" s="151" t="s">
        <v>166</v>
      </c>
      <c r="M4" s="151" t="s">
        <v>144</v>
      </c>
      <c r="N4" s="151" t="s">
        <v>166</v>
      </c>
      <c r="P4" s="188" t="s">
        <v>90</v>
      </c>
      <c r="Q4" s="189" t="s">
        <v>91</v>
      </c>
      <c r="R4" s="190">
        <v>0</v>
      </c>
      <c r="S4" s="191">
        <f ca="1">VLOOKUP(Q4,B69:$F$95,5,FALSE)</f>
        <v>15389594.182015995</v>
      </c>
      <c r="T4" s="192">
        <f ca="1">VLOOKUP(Q4,$B$100:$F$126,5,FALSE)</f>
        <v>287297145.24955511</v>
      </c>
      <c r="U4" s="193">
        <f t="shared" ref="U4:U25" ca="1" si="0">T4/S4-1</f>
        <v>17.668272980536774</v>
      </c>
      <c r="V4" s="191">
        <f ca="1">VLOOKUP(Q4,$B$131:$F$157,5,FALSE)</f>
        <v>10036552.542306878</v>
      </c>
      <c r="W4" s="192">
        <f ca="1">VLOOKUP(Q4,$B$162:$F$188,5,FALSE)</f>
        <v>46841275.660821289</v>
      </c>
      <c r="X4" s="193">
        <f t="shared" ref="X4:X30" ca="1" si="1">W4/V4-1</f>
        <v>3.6670682451341934</v>
      </c>
    </row>
    <row r="5" spans="1:24" x14ac:dyDescent="0.15">
      <c r="A5" s="149" t="s">
        <v>90</v>
      </c>
      <c r="B5" s="90" t="s">
        <v>91</v>
      </c>
      <c r="C5" s="161">
        <v>0</v>
      </c>
      <c r="D5" s="161">
        <v>0</v>
      </c>
      <c r="E5" s="161">
        <v>0</v>
      </c>
      <c r="F5" s="161">
        <v>0</v>
      </c>
      <c r="G5" s="161">
        <v>0</v>
      </c>
      <c r="H5" s="82">
        <v>0</v>
      </c>
      <c r="I5" s="161">
        <v>0</v>
      </c>
      <c r="J5" s="82">
        <v>0</v>
      </c>
      <c r="K5" s="161">
        <f ca="1">VLOOKUP(A5,FPE_FPM_9478!$A$4:$D$30,4,FALSE)</f>
        <v>15389594.182015995</v>
      </c>
      <c r="L5" s="111">
        <f ca="1">VLOOKUP(A5,FPE_FPM_ACORDO!$I$4:$L$30,4,FALSE)</f>
        <v>287297145.24955511</v>
      </c>
      <c r="M5" s="111">
        <f ca="1">VLOOKUP(A5,FPE_FPM_9478!$A$4:$K$30,11,FALSE)</f>
        <v>10036552.542306878</v>
      </c>
      <c r="N5" s="111">
        <f>VLOOKUP(A5,FPE_FPM_ACORDO!$N$4:$V$30,9,FALSE)</f>
        <v>46841275.660821289</v>
      </c>
      <c r="P5" s="194" t="s">
        <v>4</v>
      </c>
      <c r="Q5" s="195" t="s">
        <v>92</v>
      </c>
      <c r="R5" s="196">
        <v>2E-3</v>
      </c>
      <c r="S5" s="130">
        <f ca="1">VLOOKUP(Q5,B70:$F$95,5,FALSE)</f>
        <v>43157795.042436615</v>
      </c>
      <c r="T5" s="197">
        <f t="shared" ref="T5:T30" ca="1" si="2">VLOOKUP(Q5,$B$100:$F$126,5,FALSE)</f>
        <v>368739434.05869067</v>
      </c>
      <c r="U5" s="198">
        <f t="shared" ca="1" si="0"/>
        <v>7.5439822330152175</v>
      </c>
      <c r="V5" s="130">
        <f t="shared" ref="V5:V30" ca="1" si="3">VLOOKUP(Q5,$B$131:$F$157,5,FALSE)</f>
        <v>147736631.21788198</v>
      </c>
      <c r="W5" s="197">
        <f t="shared" ref="W5:W30" ca="1" si="4">VLOOKUP(Q5,$B$162:$F$188,5,FALSE)</f>
        <v>198710773.51455837</v>
      </c>
      <c r="X5" s="198">
        <f t="shared" ca="1" si="1"/>
        <v>0.3450338746488657</v>
      </c>
    </row>
    <row r="6" spans="1:24" x14ac:dyDescent="0.15">
      <c r="A6" s="149" t="s">
        <v>4</v>
      </c>
      <c r="B6" s="90" t="s">
        <v>92</v>
      </c>
      <c r="C6" s="82">
        <f>SUM('EST_LEI 9478'!Q2:Q5)</f>
        <v>24711965.049999997</v>
      </c>
      <c r="D6" s="82">
        <f>SUM(EST_ACORDO!Q2:Q5)</f>
        <v>24387644.407311443</v>
      </c>
      <c r="E6" s="82">
        <f>SUM('MUN_LEI 9478'!Q2:Q10)</f>
        <v>115363463.43000002</v>
      </c>
      <c r="F6" s="82">
        <f>SUM(MUN_ACORDO!Q2:Q10)</f>
        <v>47622990.137333333</v>
      </c>
      <c r="G6" s="161">
        <f>VLOOKUP(A6,PE!$A$3:$D$11,2,FALSE)</f>
        <v>0</v>
      </c>
      <c r="H6" s="82">
        <v>0</v>
      </c>
      <c r="I6" s="161">
        <f>VLOOKUP(A6,PE!$A$3:$D$11,3,FALSE)</f>
        <v>0</v>
      </c>
      <c r="J6" s="82">
        <f>VLOOKUP(A6,PE!$A$3:$G$11,6,FALSE)</f>
        <v>0</v>
      </c>
      <c r="K6" s="161">
        <f ca="1">VLOOKUP(A6,FPE_FPM_9478!$A$4:$D$30,4,FALSE)</f>
        <v>18445829.992436614</v>
      </c>
      <c r="L6" s="111">
        <f ca="1">VLOOKUP(A6,FPE_FPM_ACORDO!$I$4:$L$30,4,FALSE)</f>
        <v>344351789.65137923</v>
      </c>
      <c r="M6" s="111">
        <f ca="1">VLOOKUP(A6,FPE_FPM_9478!$A$4:$K$30,11,FALSE)</f>
        <v>32373167.787881959</v>
      </c>
      <c r="N6" s="111">
        <f>VLOOKUP(A6,FPE_FPM_ACORDO!$N$4:$V$30,9,FALSE)</f>
        <v>151087783.37722504</v>
      </c>
      <c r="P6" s="194" t="s">
        <v>8</v>
      </c>
      <c r="Q6" s="195" t="s">
        <v>93</v>
      </c>
      <c r="R6" s="196">
        <v>2.8000000000000001E-2</v>
      </c>
      <c r="S6" s="130">
        <f ca="1">VLOOKUP(Q6,B71:$F$95,5,FALSE)</f>
        <v>283991753.27294576</v>
      </c>
      <c r="T6" s="197">
        <f t="shared" ca="1" si="2"/>
        <v>594907586.11982131</v>
      </c>
      <c r="U6" s="198">
        <f t="shared" ca="1" si="0"/>
        <v>1.0948058500418951</v>
      </c>
      <c r="V6" s="130">
        <f t="shared" ca="1" si="3"/>
        <v>155020887.59907594</v>
      </c>
      <c r="W6" s="197">
        <f t="shared" ca="1" si="4"/>
        <v>223646903.37755412</v>
      </c>
      <c r="X6" s="198">
        <f t="shared" ca="1" si="1"/>
        <v>0.4426888327201608</v>
      </c>
    </row>
    <row r="7" spans="1:24" x14ac:dyDescent="0.15">
      <c r="A7" s="149" t="s">
        <v>8</v>
      </c>
      <c r="B7" s="90" t="s">
        <v>93</v>
      </c>
      <c r="C7" s="82">
        <f>SUM('EST_LEI 9478'!Q6:Q9)</f>
        <v>221484956.82999998</v>
      </c>
      <c r="D7" s="82">
        <f>SUM(EST_ACORDO!Q6:Q9)</f>
        <v>221484956.82999998</v>
      </c>
      <c r="E7" s="82">
        <f>SUM('MUN_LEI 9478'!Q11:Q19)</f>
        <v>116419723.79000002</v>
      </c>
      <c r="F7" s="82">
        <f>SUM(MUN_ACORDO!Q11:Q19)</f>
        <v>89883905.411000013</v>
      </c>
      <c r="G7" s="161">
        <f>VLOOKUP(A7,PE!$A$3:$D$11,2,FALSE)</f>
        <v>44531325.270000003</v>
      </c>
      <c r="H7" s="82">
        <f>VLOOKUP(A7,PE!$A$3:$G$11,5,FALSE)</f>
        <v>37851626.479500003</v>
      </c>
      <c r="I7" s="161">
        <f>VLOOKUP(A7,PE!$A$3:$D$11,3,FALSE)</f>
        <v>11132831.319999998</v>
      </c>
      <c r="J7" s="82">
        <f>VLOOKUP(A7,PE!$A$3:$G$11,6,FALSE)</f>
        <v>5566415.6599999992</v>
      </c>
      <c r="K7" s="161">
        <f ca="1">VLOOKUP(A7,FPE_FPM_9478!$A$4:$D$30,4,FALSE)</f>
        <v>17975471.172945775</v>
      </c>
      <c r="L7" s="111">
        <f ca="1">VLOOKUP(A7,FPE_FPM_ACORDO!$I$4:$L$30,4,FALSE)</f>
        <v>335571002.81032127</v>
      </c>
      <c r="M7" s="111">
        <f ca="1">VLOOKUP(A7,FPE_FPM_9478!$A$4:$K$30,11,FALSE)</f>
        <v>27468332.489075921</v>
      </c>
      <c r="N7" s="111">
        <f>VLOOKUP(A7,FPE_FPM_ACORDO!$N$4:$V$30,9,FALSE)</f>
        <v>128196582.30655411</v>
      </c>
      <c r="P7" s="188" t="s">
        <v>9</v>
      </c>
      <c r="Q7" s="189" t="s">
        <v>94</v>
      </c>
      <c r="R7" s="190">
        <v>0</v>
      </c>
      <c r="S7" s="191">
        <f ca="1">VLOOKUP(Q7,B72:$F$95,5,FALSE)</f>
        <v>13785954.690809943</v>
      </c>
      <c r="T7" s="192">
        <f t="shared" ca="1" si="2"/>
        <v>257359965.46535143</v>
      </c>
      <c r="U7" s="193">
        <f t="shared" ca="1" si="0"/>
        <v>17.668272980536774</v>
      </c>
      <c r="V7" s="191">
        <f t="shared" ca="1" si="3"/>
        <v>8083810.3772188863</v>
      </c>
      <c r="W7" s="192">
        <f t="shared" ca="1" si="4"/>
        <v>36664628.395597398</v>
      </c>
      <c r="X7" s="199">
        <f t="shared" ca="1" si="1"/>
        <v>3.5355626474023394</v>
      </c>
    </row>
    <row r="8" spans="1:24" x14ac:dyDescent="0.15">
      <c r="A8" s="149" t="s">
        <v>9</v>
      </c>
      <c r="B8" s="90" t="s">
        <v>94</v>
      </c>
      <c r="C8" s="82"/>
      <c r="D8" s="82">
        <v>0</v>
      </c>
      <c r="E8" s="82">
        <f>SUM('MUN_LEI 9478'!Q20:Q28)</f>
        <v>278216.12999999989</v>
      </c>
      <c r="F8" s="82">
        <f>SUM(MUN_ACORDO!Q20:Q28)</f>
        <v>235387.34999999998</v>
      </c>
      <c r="G8" s="161">
        <v>0</v>
      </c>
      <c r="H8" s="82">
        <v>0</v>
      </c>
      <c r="I8" s="161">
        <v>0</v>
      </c>
      <c r="J8" s="82">
        <v>0</v>
      </c>
      <c r="K8" s="161">
        <f ca="1">VLOOKUP(A8,FPE_FPM_9478!$A$4:$D$30,4,FALSE)</f>
        <v>13785954.690809943</v>
      </c>
      <c r="L8" s="111">
        <f ca="1">VLOOKUP(A8,FPE_FPM_ACORDO!$I$4:$L$30,4,FALSE)</f>
        <v>257359965.46535143</v>
      </c>
      <c r="M8" s="111">
        <f ca="1">VLOOKUP(A8,FPE_FPM_9478!$A$4:$K$30,11,FALSE)</f>
        <v>7805594.2472188864</v>
      </c>
      <c r="N8" s="111">
        <f>VLOOKUP(A8,FPE_FPM_ACORDO!$N$4:$V$30,9,FALSE)</f>
        <v>36429241.045597397</v>
      </c>
      <c r="P8" s="194" t="s">
        <v>10</v>
      </c>
      <c r="Q8" s="195" t="s">
        <v>95</v>
      </c>
      <c r="R8" s="196">
        <v>1.4999999999999999E-2</v>
      </c>
      <c r="S8" s="130">
        <f ca="1">VLOOKUP(Q8,B73:$F$95,5,FALSE)</f>
        <v>233369716.71219948</v>
      </c>
      <c r="T8" s="197">
        <f t="shared" ca="1" si="2"/>
        <v>803656432.22860944</v>
      </c>
      <c r="U8" s="198">
        <f t="shared" ca="1" si="0"/>
        <v>2.443704879753998</v>
      </c>
      <c r="V8" s="130">
        <f t="shared" ca="1" si="3"/>
        <v>497540228.98719645</v>
      </c>
      <c r="W8" s="197">
        <f t="shared" ca="1" si="4"/>
        <v>786375085.85276532</v>
      </c>
      <c r="X8" s="198">
        <f t="shared" ca="1" si="1"/>
        <v>0.58052563398446644</v>
      </c>
    </row>
    <row r="9" spans="1:24" x14ac:dyDescent="0.15">
      <c r="A9" s="149" t="s">
        <v>10</v>
      </c>
      <c r="B9" s="90" t="s">
        <v>95</v>
      </c>
      <c r="C9" s="82">
        <f>SUM('EST_LEI 9478'!Q10:Q13)</f>
        <v>193700996.58000001</v>
      </c>
      <c r="D9" s="82">
        <f>SUM(EST_ACORDO!Q10:Q13)</f>
        <v>187545208.82602254</v>
      </c>
      <c r="E9" s="82">
        <f>SUM('MUN_LEI 9478'!Q29:Q37)</f>
        <v>364164872.87</v>
      </c>
      <c r="F9" s="82">
        <f>SUM(MUN_ACORDO!Q29:Q37)</f>
        <v>171178456.62322223</v>
      </c>
      <c r="G9" s="161">
        <f>VLOOKUP(A9,PE!$A$3:$D$11,2,FALSE)</f>
        <v>6983576.5199999996</v>
      </c>
      <c r="H9" s="82">
        <f>VLOOKUP(A9,PE!$A$3:$G$11,5,FALSE)</f>
        <v>5936040.0419999994</v>
      </c>
      <c r="I9" s="161">
        <f>VLOOKUP(A9,PE!$A$3:$D$11,3,FALSE)</f>
        <v>1745894.13</v>
      </c>
      <c r="J9" s="82">
        <f>VLOOKUP(A9,PE!$A$3:$G$11,6,FALSE)</f>
        <v>872947.06499999983</v>
      </c>
      <c r="K9" s="161">
        <f ca="1">VLOOKUP(A9,FPE_FPM_9478!$A$4:$D$30,4,FALSE)</f>
        <v>32685143.612199444</v>
      </c>
      <c r="L9" s="111">
        <f ca="1">VLOOKUP(A9,FPE_FPM_ACORDO!$I$4:$L$30,4,FALSE)</f>
        <v>610175183.36058688</v>
      </c>
      <c r="M9" s="111">
        <f ca="1">VLOOKUP(A9,FPE_FPM_9478!$A$4:$K$30,11,FALSE)</f>
        <v>131629461.98719648</v>
      </c>
      <c r="N9" s="111">
        <f>VLOOKUP(A9,FPE_FPM_ACORDO!$N$4:$V$30,9,FALSE)</f>
        <v>614323682.16454303</v>
      </c>
      <c r="P9" s="194" t="s">
        <v>11</v>
      </c>
      <c r="Q9" s="195" t="s">
        <v>96</v>
      </c>
      <c r="R9" s="196">
        <v>1E-3</v>
      </c>
      <c r="S9" s="130">
        <f ca="1">VLOOKUP(Q9,B74:$F$95,5,FALSE)</f>
        <v>39451146.39728342</v>
      </c>
      <c r="T9" s="197">
        <f t="shared" ca="1" si="2"/>
        <v>479344647.98876798</v>
      </c>
      <c r="U9" s="198">
        <f t="shared" ca="1" si="0"/>
        <v>11.150335079281128</v>
      </c>
      <c r="V9" s="130">
        <f t="shared" ca="1" si="3"/>
        <v>177772730.48420933</v>
      </c>
      <c r="W9" s="197">
        <f t="shared" ca="1" si="4"/>
        <v>375605790.45583069</v>
      </c>
      <c r="X9" s="198">
        <f t="shared" ca="1" si="1"/>
        <v>1.112842557082701</v>
      </c>
    </row>
    <row r="10" spans="1:24" x14ac:dyDescent="0.15">
      <c r="A10" s="149" t="s">
        <v>11</v>
      </c>
      <c r="B10" s="90" t="s">
        <v>96</v>
      </c>
      <c r="C10" s="82">
        <f>SUM('EST_LEI 9478'!Q14:Q17)</f>
        <v>14413534.970000003</v>
      </c>
      <c r="D10" s="82">
        <f>SUM(EST_ACORDO!Q14:Q17)</f>
        <v>11935683.083634235</v>
      </c>
      <c r="E10" s="82">
        <f>SUM('MUN_LEI 9478'!Q38:Q46)</f>
        <v>105706512.7</v>
      </c>
      <c r="F10" s="82">
        <f>SUM(MUN_ACORDO!Q38:Q46)</f>
        <v>39267833.888222225</v>
      </c>
      <c r="G10" s="161">
        <v>0</v>
      </c>
      <c r="H10" s="82">
        <v>0</v>
      </c>
      <c r="I10" s="161">
        <v>0</v>
      </c>
      <c r="J10" s="82">
        <v>0</v>
      </c>
      <c r="K10" s="161">
        <f ca="1">VLOOKUP(A10,FPE_FPM_9478!$A$4:$D$30,4,FALSE)</f>
        <v>25037611.427283414</v>
      </c>
      <c r="L10" s="111">
        <f ca="1">VLOOKUP(A10,FPE_FPM_ACORDO!$I$4:$L$30,4,FALSE)</f>
        <v>467408964.90513372</v>
      </c>
      <c r="M10" s="111">
        <f ca="1">VLOOKUP(A10,FPE_FPM_9478!$A$4:$K$30,11,FALSE)</f>
        <v>72066217.784209326</v>
      </c>
      <c r="N10" s="111">
        <f>VLOOKUP(A10,FPE_FPM_ACORDO!$N$4:$V$30,9,FALSE)</f>
        <v>336337956.56760848</v>
      </c>
      <c r="P10" s="188" t="s">
        <v>97</v>
      </c>
      <c r="Q10" s="189" t="s">
        <v>98</v>
      </c>
      <c r="R10" s="190">
        <v>0</v>
      </c>
      <c r="S10" s="191">
        <f ca="1">VLOOKUP(Q10,B75:$F$95,5,FALSE)</f>
        <v>2533605.8270455874</v>
      </c>
      <c r="T10" s="192">
        <f t="shared" ca="1" si="2"/>
        <v>47298045.204365656</v>
      </c>
      <c r="U10" s="193">
        <f t="shared" ca="1" si="0"/>
        <v>17.66827298053677</v>
      </c>
      <c r="V10" s="191">
        <f t="shared" ca="1" si="3"/>
        <v>2680469.0168027836</v>
      </c>
      <c r="W10" s="192">
        <f t="shared" ca="1" si="4"/>
        <v>12509931.830386344</v>
      </c>
      <c r="X10" s="193">
        <f t="shared" ca="1" si="1"/>
        <v>3.6670682451341934</v>
      </c>
    </row>
    <row r="11" spans="1:24" x14ac:dyDescent="0.15">
      <c r="A11" s="149" t="s">
        <v>97</v>
      </c>
      <c r="B11" s="90" t="s">
        <v>98</v>
      </c>
      <c r="C11" s="161">
        <v>0</v>
      </c>
      <c r="D11" s="161">
        <v>0</v>
      </c>
      <c r="E11" s="161">
        <v>0</v>
      </c>
      <c r="F11" s="161">
        <v>0</v>
      </c>
      <c r="G11" s="161">
        <v>0</v>
      </c>
      <c r="H11" s="82">
        <v>0</v>
      </c>
      <c r="I11" s="161">
        <v>0</v>
      </c>
      <c r="J11" s="82">
        <v>0</v>
      </c>
      <c r="K11" s="161">
        <f ca="1">VLOOKUP(A11,FPE_FPM_9478!$A$4:$D$30,4,FALSE)</f>
        <v>2533605.8270455874</v>
      </c>
      <c r="L11" s="111">
        <f ca="1">VLOOKUP(A11,FPE_FPM_ACORDO!$I$4:$L$30,4,FALSE)</f>
        <v>47298045.204365656</v>
      </c>
      <c r="M11" s="111">
        <f ca="1">VLOOKUP(A11,FPE_FPM_9478!$A$4:$K$30,11,FALSE)</f>
        <v>2680469.0168027836</v>
      </c>
      <c r="N11" s="111">
        <f>VLOOKUP(A11,FPE_FPM_ACORDO!$N$4:$V$30,9,FALSE)</f>
        <v>12509931.830386344</v>
      </c>
      <c r="P11" s="179" t="s">
        <v>12</v>
      </c>
      <c r="Q11" s="186" t="s">
        <v>99</v>
      </c>
      <c r="R11" s="200">
        <v>8.4000000000000005E-2</v>
      </c>
      <c r="S11" s="206">
        <f ca="1">VLOOKUP(Q11,B76:$F$95,5,FALSE)</f>
        <v>2653177594.151053</v>
      </c>
      <c r="T11" s="207">
        <f t="shared" ca="1" si="2"/>
        <v>2360855694.041111</v>
      </c>
      <c r="U11" s="201">
        <f t="shared" ca="1" si="0"/>
        <v>-0.11017803736710552</v>
      </c>
      <c r="V11" s="206">
        <f t="shared" ca="1" si="3"/>
        <v>1359571715.4901156</v>
      </c>
      <c r="W11" s="207">
        <f t="shared" ca="1" si="4"/>
        <v>915650470.53729725</v>
      </c>
      <c r="X11" s="201">
        <f t="shared" ca="1" si="1"/>
        <v>-0.32651550476893232</v>
      </c>
    </row>
    <row r="12" spans="1:24" x14ac:dyDescent="0.15">
      <c r="A12" s="149" t="s">
        <v>12</v>
      </c>
      <c r="B12" s="90" t="s">
        <v>99</v>
      </c>
      <c r="C12" s="82">
        <f>SUM('EST_LEI 9478'!Q18:Q21)</f>
        <v>846465474.55000007</v>
      </c>
      <c r="D12" s="82">
        <f>SUM(EST_ACORDO!Q18:Q21)</f>
        <v>658677817.76754701</v>
      </c>
      <c r="E12" s="82">
        <f>SUM('MUN_LEI 9478'!Q47:Q55)</f>
        <v>882562672.01000011</v>
      </c>
      <c r="F12" s="82">
        <f>SUM(MUN_ACORDO!Q47:Q55)</f>
        <v>561856864.20688891</v>
      </c>
      <c r="G12" s="161">
        <f>VLOOKUP(A12,PE!$A$3:$D$11,2,FALSE)</f>
        <v>1797369318.826</v>
      </c>
      <c r="H12" s="82">
        <f>VLOOKUP(A12,PE!$A$3:$G$11,5,FALSE)</f>
        <v>1527763921.0021</v>
      </c>
      <c r="I12" s="161">
        <f>VLOOKUP(A12,PE!$A$3:$D$11,3,FALSE)</f>
        <v>449342329.66399997</v>
      </c>
      <c r="J12" s="82">
        <f>VLOOKUP(A12,PE!$A$3:$G$11,6,FALSE)</f>
        <v>224671164.83199996</v>
      </c>
      <c r="K12" s="161">
        <f ca="1">VLOOKUP(A12,FPE_FPM_9478!$A$4:$D$30,4,FALSE)</f>
        <v>9342800.7750531975</v>
      </c>
      <c r="L12" s="111">
        <f ca="1">VLOOKUP(A12,FPE_FPM_ACORDO!$I$4:$L$30,4,FALSE)</f>
        <v>174413955.27146363</v>
      </c>
      <c r="M12" s="111">
        <f ca="1">VLOOKUP(A12,FPE_FPM_9478!$A$4:$K$30,11,FALSE)</f>
        <v>27666713.816115547</v>
      </c>
      <c r="N12" s="111">
        <f>VLOOKUP(A12,FPE_FPM_ACORDO!$N$4:$V$30,9,FALSE)</f>
        <v>129122441.49840832</v>
      </c>
      <c r="P12" s="188" t="s">
        <v>100</v>
      </c>
      <c r="Q12" s="189" t="s">
        <v>101</v>
      </c>
      <c r="R12" s="190">
        <v>0</v>
      </c>
      <c r="S12" s="191">
        <f ca="1">VLOOKUP(Q12,B77:$F$95,5,FALSE)</f>
        <v>12506051.907382676</v>
      </c>
      <c r="T12" s="192">
        <f t="shared" ca="1" si="2"/>
        <v>233466390.91578239</v>
      </c>
      <c r="U12" s="193">
        <f t="shared" ca="1" si="0"/>
        <v>17.668272980536774</v>
      </c>
      <c r="V12" s="191">
        <f t="shared" ca="1" si="3"/>
        <v>58762128.046830997</v>
      </c>
      <c r="W12" s="192">
        <f t="shared" ca="1" si="4"/>
        <v>274246861.82387429</v>
      </c>
      <c r="X12" s="193">
        <f t="shared" ca="1" si="1"/>
        <v>3.6670682451341934</v>
      </c>
    </row>
    <row r="13" spans="1:24" x14ac:dyDescent="0.15">
      <c r="A13" s="149" t="s">
        <v>100</v>
      </c>
      <c r="B13" s="90" t="s">
        <v>101</v>
      </c>
      <c r="C13" s="161">
        <v>0</v>
      </c>
      <c r="D13" s="161">
        <v>0</v>
      </c>
      <c r="E13" s="161">
        <v>0</v>
      </c>
      <c r="F13" s="161">
        <v>0</v>
      </c>
      <c r="G13" s="161">
        <v>0</v>
      </c>
      <c r="H13" s="82">
        <v>0</v>
      </c>
      <c r="I13" s="161">
        <v>0</v>
      </c>
      <c r="J13" s="82">
        <v>0</v>
      </c>
      <c r="K13" s="161">
        <f ca="1">VLOOKUP(A13,FPE_FPM_9478!$A$4:$D$30,4,FALSE)</f>
        <v>12506051.907382676</v>
      </c>
      <c r="L13" s="111">
        <f ca="1">VLOOKUP(A13,FPE_FPM_ACORDO!$I$4:$L$30,4,FALSE)</f>
        <v>233466390.91578239</v>
      </c>
      <c r="M13" s="111">
        <f ca="1">VLOOKUP(A13,FPE_FPM_9478!$A$4:$K$30,11,FALSE)</f>
        <v>58762128.046830997</v>
      </c>
      <c r="N13" s="111">
        <f>VLOOKUP(A13,FPE_FPM_ACORDO!$N$4:$V$30,9,FALSE)</f>
        <v>274246861.82387429</v>
      </c>
      <c r="P13" s="194" t="s">
        <v>13</v>
      </c>
      <c r="Q13" s="195" t="s">
        <v>102</v>
      </c>
      <c r="R13" s="196">
        <v>1.2E-2</v>
      </c>
      <c r="S13" s="130">
        <f ca="1">VLOOKUP(Q13,B78:$F$95,5,FALSE)</f>
        <v>75896155.534274578</v>
      </c>
      <c r="T13" s="197">
        <f t="shared" ca="1" si="2"/>
        <v>530863912.15154886</v>
      </c>
      <c r="U13" s="198">
        <f t="shared" ca="1" si="0"/>
        <v>5.9946087310286957</v>
      </c>
      <c r="V13" s="130">
        <f t="shared" ca="1" si="3"/>
        <v>140410550.96943969</v>
      </c>
      <c r="W13" s="197">
        <f t="shared" ca="1" si="4"/>
        <v>365196226.64747441</v>
      </c>
      <c r="X13" s="198">
        <f t="shared" ca="1" si="1"/>
        <v>1.6009172681542947</v>
      </c>
    </row>
    <row r="14" spans="1:24" x14ac:dyDescent="0.15">
      <c r="A14" s="149" t="s">
        <v>13</v>
      </c>
      <c r="B14" s="90" t="s">
        <v>102</v>
      </c>
      <c r="C14" s="82">
        <f>SUM('EST_LEI 9478'!Q22:Q25)</f>
        <v>50136528.519999996</v>
      </c>
      <c r="D14" s="82">
        <f>SUM(EST_ACORDO!Q22:Q25)</f>
        <v>50136528.519999996</v>
      </c>
      <c r="E14" s="82">
        <f>SUM('MUN_LEI 9478'!Q56:Q64)</f>
        <v>69632029.74000001</v>
      </c>
      <c r="F14" s="82">
        <f>SUM(MUN_ACORDO!Q56:Q64)</f>
        <v>34868037.780000001</v>
      </c>
      <c r="G14" s="161">
        <f>VLOOKUP(A14,PE!$A$3:$D$11,2,FALSE)</f>
        <v>9000.0499999999993</v>
      </c>
      <c r="H14" s="82">
        <f>VLOOKUP(A14,PE!$A$3:$G$11,5,FALSE)</f>
        <v>7650.0424999999987</v>
      </c>
      <c r="I14" s="161">
        <f>VLOOKUP(A14,PE!$A$3:$D$11,3,FALSE)</f>
        <v>0</v>
      </c>
      <c r="J14" s="82">
        <f>VLOOKUP(A14,PE!$A$3:$G$11,6,FALSE)</f>
        <v>0</v>
      </c>
      <c r="K14" s="161">
        <f ca="1">VLOOKUP(A14,FPE_FPM_9478!$A$4:$D$30,4,FALSE)</f>
        <v>25750626.964274585</v>
      </c>
      <c r="L14" s="111">
        <f ca="1">VLOOKUP(A14,FPE_FPM_ACORDO!$I$4:$L$30,4,FALSE)</f>
        <v>480719733.58904886</v>
      </c>
      <c r="M14" s="111">
        <f ca="1">VLOOKUP(A14,FPE_FPM_9478!$A$4:$K$30,11,FALSE)</f>
        <v>70778521.229439691</v>
      </c>
      <c r="N14" s="111">
        <f>VLOOKUP(A14,FPE_FPM_ACORDO!$N$4:$V$30,9,FALSE)</f>
        <v>330328188.86747438</v>
      </c>
      <c r="P14" s="188" t="s">
        <v>14</v>
      </c>
      <c r="Q14" s="189" t="s">
        <v>103</v>
      </c>
      <c r="R14" s="190">
        <v>0</v>
      </c>
      <c r="S14" s="191">
        <f ca="1">VLOOKUP(Q14,B79:$F$95,5,FALSE)</f>
        <v>19468895.225611512</v>
      </c>
      <c r="T14" s="192">
        <f t="shared" ca="1" si="2"/>
        <v>363450650.70118475</v>
      </c>
      <c r="U14" s="193">
        <f t="shared" ca="1" si="0"/>
        <v>17.668272980536774</v>
      </c>
      <c r="V14" s="191">
        <f t="shared" ca="1" si="3"/>
        <v>205864665.87890387</v>
      </c>
      <c r="W14" s="192">
        <f t="shared" ca="1" si="4"/>
        <v>906509446.06309748</v>
      </c>
      <c r="X14" s="193">
        <f t="shared" ca="1" si="1"/>
        <v>3.4034241728317527</v>
      </c>
    </row>
    <row r="15" spans="1:24" x14ac:dyDescent="0.15">
      <c r="A15" s="149" t="s">
        <v>14</v>
      </c>
      <c r="B15" s="90" t="s">
        <v>103</v>
      </c>
      <c r="C15" s="82">
        <v>0</v>
      </c>
      <c r="D15" s="82">
        <v>0</v>
      </c>
      <c r="E15" s="82">
        <f>SUM('MUN_LEI 9478'!Q65:Q73)</f>
        <v>12522817.420000002</v>
      </c>
      <c r="F15" s="82">
        <f>SUM(MUN_ACORDO!Q65:Q73)</f>
        <v>4169844.6649999991</v>
      </c>
      <c r="G15" s="161">
        <v>0</v>
      </c>
      <c r="H15" s="82">
        <v>0</v>
      </c>
      <c r="I15" s="161">
        <v>0</v>
      </c>
      <c r="J15" s="82">
        <v>0</v>
      </c>
      <c r="K15" s="161">
        <f ca="1">VLOOKUP(A15,FPE_FPM_9478!$A$4:$D$30,4,FALSE)</f>
        <v>19468895.225611512</v>
      </c>
      <c r="L15" s="111">
        <f ca="1">VLOOKUP(A15,FPE_FPM_ACORDO!$I$4:$L$30,4,FALSE)</f>
        <v>363450650.70118475</v>
      </c>
      <c r="M15" s="111">
        <f ca="1">VLOOKUP(A15,FPE_FPM_9478!$A$4:$K$30,11,FALSE)</f>
        <v>193341848.45890385</v>
      </c>
      <c r="N15" s="111">
        <f>VLOOKUP(A15,FPE_FPM_ACORDO!$N$4:$V$30,9,FALSE)</f>
        <v>902339601.39809752</v>
      </c>
      <c r="P15" s="188" t="s">
        <v>104</v>
      </c>
      <c r="Q15" s="189" t="s">
        <v>105</v>
      </c>
      <c r="R15" s="190">
        <v>0</v>
      </c>
      <c r="S15" s="191">
        <f ca="1">VLOOKUP(Q15,B80:$F$95,5,FALSE)</f>
        <v>5960378.592846727</v>
      </c>
      <c r="T15" s="192">
        <f t="shared" ca="1" si="2"/>
        <v>111269974.63861033</v>
      </c>
      <c r="U15" s="193">
        <f t="shared" ca="1" si="0"/>
        <v>17.66827298053677</v>
      </c>
      <c r="V15" s="191">
        <f t="shared" ca="1" si="3"/>
        <v>21744248.532498948</v>
      </c>
      <c r="W15" s="192">
        <f t="shared" ca="1" si="4"/>
        <v>101481891.84033163</v>
      </c>
      <c r="X15" s="193">
        <f t="shared" ca="1" si="1"/>
        <v>3.6670682451341934</v>
      </c>
    </row>
    <row r="16" spans="1:24" x14ac:dyDescent="0.15">
      <c r="A16" s="149" t="s">
        <v>104</v>
      </c>
      <c r="B16" s="90" t="s">
        <v>105</v>
      </c>
      <c r="C16" s="161">
        <v>0</v>
      </c>
      <c r="D16" s="161">
        <v>0</v>
      </c>
      <c r="E16" s="161">
        <v>0</v>
      </c>
      <c r="F16" s="161">
        <v>0</v>
      </c>
      <c r="G16" s="161">
        <v>0</v>
      </c>
      <c r="H16" s="82">
        <v>0</v>
      </c>
      <c r="I16" s="161">
        <v>0</v>
      </c>
      <c r="J16" s="82">
        <v>0</v>
      </c>
      <c r="K16" s="161">
        <f ca="1">VLOOKUP(A16,FPE_FPM_9478!$A$4:$D$30,4,FALSE)</f>
        <v>5960378.592846727</v>
      </c>
      <c r="L16" s="111">
        <f ca="1">VLOOKUP(A16,FPE_FPM_ACORDO!$I$4:$L$30,4,FALSE)</f>
        <v>111269974.63861033</v>
      </c>
      <c r="M16" s="111">
        <f ca="1">VLOOKUP(A16,FPE_FPM_9478!$A$4:$K$30,11,FALSE)</f>
        <v>21744248.532498948</v>
      </c>
      <c r="N16" s="111">
        <f>VLOOKUP(A16,FPE_FPM_ACORDO!$N$4:$V$30,9,FALSE)</f>
        <v>101481891.84033163</v>
      </c>
      <c r="P16" s="188" t="s">
        <v>106</v>
      </c>
      <c r="Q16" s="189" t="s">
        <v>107</v>
      </c>
      <c r="R16" s="190">
        <v>0</v>
      </c>
      <c r="S16" s="191">
        <f ca="1">VLOOKUP(Q16,B81:$F$95,5,FALSE)</f>
        <v>9012663.8340115007</v>
      </c>
      <c r="T16" s="192">
        <f t="shared" ca="1" si="2"/>
        <v>168250868.73513782</v>
      </c>
      <c r="U16" s="193">
        <f t="shared" ca="1" si="0"/>
        <v>17.66827298053677</v>
      </c>
      <c r="V16" s="191">
        <f t="shared" ca="1" si="3"/>
        <v>32855981.387326173</v>
      </c>
      <c r="W16" s="192">
        <f t="shared" ca="1" si="4"/>
        <v>153341107.39551008</v>
      </c>
      <c r="X16" s="193">
        <f t="shared" ca="1" si="1"/>
        <v>3.6670682451341934</v>
      </c>
    </row>
    <row r="17" spans="1:24" x14ac:dyDescent="0.15">
      <c r="A17" s="149" t="s">
        <v>106</v>
      </c>
      <c r="B17" s="90" t="s">
        <v>107</v>
      </c>
      <c r="C17" s="161">
        <v>0</v>
      </c>
      <c r="D17" s="161">
        <v>0</v>
      </c>
      <c r="E17" s="161">
        <v>0</v>
      </c>
      <c r="F17" s="161">
        <v>0</v>
      </c>
      <c r="G17" s="161">
        <v>0</v>
      </c>
      <c r="H17" s="82">
        <v>0</v>
      </c>
      <c r="I17" s="161">
        <v>0</v>
      </c>
      <c r="J17" s="82">
        <v>0</v>
      </c>
      <c r="K17" s="161">
        <f ca="1">VLOOKUP(A17,FPE_FPM_9478!$A$4:$D$30,4,FALSE)</f>
        <v>9012663.8340115007</v>
      </c>
      <c r="L17" s="111">
        <f ca="1">VLOOKUP(A17,FPE_FPM_ACORDO!$I$4:$L$30,4,FALSE)</f>
        <v>168250868.73513782</v>
      </c>
      <c r="M17" s="111">
        <f ca="1">VLOOKUP(A17,FPE_FPM_9478!$A$4:$K$30,11,FALSE)</f>
        <v>32855981.387326173</v>
      </c>
      <c r="N17" s="111">
        <f>VLOOKUP(A17,FPE_FPM_ACORDO!$N$4:$V$30,9,FALSE)</f>
        <v>153341107.39551008</v>
      </c>
      <c r="P17" s="188" t="s">
        <v>15</v>
      </c>
      <c r="Q17" s="189" t="s">
        <v>108</v>
      </c>
      <c r="R17" s="190">
        <v>0</v>
      </c>
      <c r="S17" s="191">
        <f ca="1">VLOOKUP(Q17,B82:$F$95,5,FALSE)</f>
        <v>24751832.846547514</v>
      </c>
      <c r="T17" s="192">
        <f t="shared" ca="1" si="2"/>
        <v>462073972.34796554</v>
      </c>
      <c r="U17" s="193">
        <f t="shared" ca="1" si="0"/>
        <v>17.668272980536774</v>
      </c>
      <c r="V17" s="191">
        <f t="shared" ca="1" si="3"/>
        <v>64614568.954435505</v>
      </c>
      <c r="W17" s="192">
        <f t="shared" ca="1" si="4"/>
        <v>295536560.48517251</v>
      </c>
      <c r="X17" s="193">
        <f t="shared" ca="1" si="1"/>
        <v>3.5738378397846642</v>
      </c>
    </row>
    <row r="18" spans="1:24" x14ac:dyDescent="0.15">
      <c r="A18" s="149" t="s">
        <v>15</v>
      </c>
      <c r="B18" s="90" t="s">
        <v>108</v>
      </c>
      <c r="C18" s="82">
        <v>0</v>
      </c>
      <c r="D18" s="82">
        <v>0</v>
      </c>
      <c r="E18" s="82">
        <f>SUM('MUN_LEI 9478'!Q74:Q82)</f>
        <v>1576558.07</v>
      </c>
      <c r="F18" s="82">
        <f>SUM(MUN_ACORDO!Q74:Q82)</f>
        <v>1333861.6500000001</v>
      </c>
      <c r="G18" s="161">
        <v>0</v>
      </c>
      <c r="H18" s="82">
        <v>0</v>
      </c>
      <c r="I18" s="161">
        <v>0</v>
      </c>
      <c r="J18" s="82">
        <v>0</v>
      </c>
      <c r="K18" s="161">
        <f ca="1">VLOOKUP(A18,FPE_FPM_9478!$A$4:$D$30,4,FALSE)</f>
        <v>24751832.846547514</v>
      </c>
      <c r="L18" s="111">
        <f ca="1">VLOOKUP(A18,FPE_FPM_ACORDO!$I$4:$L$30,4,FALSE)</f>
        <v>462073972.34796554</v>
      </c>
      <c r="M18" s="111">
        <f ca="1">VLOOKUP(A18,FPE_FPM_9478!$A$4:$K$30,11,FALSE)</f>
        <v>63038010.884435505</v>
      </c>
      <c r="N18" s="111">
        <f>VLOOKUP(A18,FPE_FPM_ACORDO!$N$4:$V$30,9,FALSE)</f>
        <v>294202698.83517253</v>
      </c>
      <c r="P18" s="188" t="s">
        <v>16</v>
      </c>
      <c r="Q18" s="189" t="s">
        <v>109</v>
      </c>
      <c r="R18" s="190">
        <v>0</v>
      </c>
      <c r="S18" s="191">
        <f ca="1">VLOOKUP(Q18,B83:$F$95,5,FALSE)</f>
        <v>17189494.532099586</v>
      </c>
      <c r="T18" s="192">
        <f t="shared" ca="1" si="2"/>
        <v>320898176.32267928</v>
      </c>
      <c r="U18" s="193">
        <f t="shared" ca="1" si="0"/>
        <v>17.668272980536774</v>
      </c>
      <c r="V18" s="191">
        <f t="shared" ca="1" si="3"/>
        <v>88807249.139460891</v>
      </c>
      <c r="W18" s="192">
        <f t="shared" ca="1" si="4"/>
        <v>237064879.11310822</v>
      </c>
      <c r="X18" s="193">
        <f t="shared" ca="1" si="1"/>
        <v>1.6694316219707122</v>
      </c>
    </row>
    <row r="19" spans="1:24" x14ac:dyDescent="0.15">
      <c r="A19" s="149" t="s">
        <v>16</v>
      </c>
      <c r="B19" s="90" t="s">
        <v>109</v>
      </c>
      <c r="C19" s="82">
        <v>0</v>
      </c>
      <c r="D19" s="82">
        <v>0</v>
      </c>
      <c r="E19" s="82">
        <f>SUM('MUN_LEI 9478'!Q83:Q91)</f>
        <v>41927333.640000001</v>
      </c>
      <c r="F19" s="82">
        <f>SUM(MUN_ACORDO!Q83:Q91)</f>
        <v>18273114.151000001</v>
      </c>
      <c r="G19" s="161">
        <v>0</v>
      </c>
      <c r="H19" s="82">
        <v>0</v>
      </c>
      <c r="I19" s="161">
        <v>0</v>
      </c>
      <c r="J19" s="82">
        <v>0</v>
      </c>
      <c r="K19" s="161">
        <f ca="1">VLOOKUP(A19,FPE_FPM_9478!$A$4:$D$30,4,FALSE)</f>
        <v>17189494.532099586</v>
      </c>
      <c r="L19" s="111">
        <f ca="1">VLOOKUP(A19,FPE_FPM_ACORDO!$I$4:$L$30,4,FALSE)</f>
        <v>320898176.32267928</v>
      </c>
      <c r="M19" s="111">
        <f ca="1">VLOOKUP(A19,FPE_FPM_9478!$A$4:$K$30,11,FALSE)</f>
        <v>46879915.499460891</v>
      </c>
      <c r="N19" s="111">
        <f>VLOOKUP(A19,FPE_FPM_ACORDO!$N$4:$V$30,9,FALSE)</f>
        <v>218791764.96210822</v>
      </c>
      <c r="P19" s="188" t="s">
        <v>17</v>
      </c>
      <c r="Q19" s="189" t="s">
        <v>110</v>
      </c>
      <c r="R19" s="190">
        <v>0</v>
      </c>
      <c r="S19" s="191">
        <f ca="1">VLOOKUP(Q19,B84:$F$95,5,FALSE)</f>
        <v>24035329.454612944</v>
      </c>
      <c r="T19" s="192">
        <f t="shared" ca="1" si="2"/>
        <v>448698091.43585044</v>
      </c>
      <c r="U19" s="193">
        <f t="shared" ca="1" si="0"/>
        <v>17.66827298053677</v>
      </c>
      <c r="V19" s="191">
        <f t="shared" ca="1" si="3"/>
        <v>130352097.45595574</v>
      </c>
      <c r="W19" s="192">
        <f t="shared" ca="1" si="4"/>
        <v>352069837.20571882</v>
      </c>
      <c r="X19" s="193">
        <f t="shared" ca="1" si="1"/>
        <v>1.7009142474648602</v>
      </c>
    </row>
    <row r="20" spans="1:24" x14ac:dyDescent="0.15">
      <c r="A20" s="149" t="s">
        <v>17</v>
      </c>
      <c r="B20" s="90" t="s">
        <v>110</v>
      </c>
      <c r="C20" s="82">
        <v>0</v>
      </c>
      <c r="D20" s="82">
        <v>0</v>
      </c>
      <c r="E20" s="82">
        <f>SUM('MUN_LEI 9478'!Q92:Q100)</f>
        <v>59858507.250000007</v>
      </c>
      <c r="F20" s="82">
        <f>SUM(MUN_ACORDO!Q92:Q100)</f>
        <v>23071440.870000001</v>
      </c>
      <c r="G20" s="161">
        <v>0</v>
      </c>
      <c r="H20" s="82">
        <v>0</v>
      </c>
      <c r="I20" s="161">
        <v>0</v>
      </c>
      <c r="J20" s="82">
        <v>0</v>
      </c>
      <c r="K20" s="161">
        <f ca="1">VLOOKUP(A20,FPE_FPM_9478!$A$4:$D$30,4,FALSE)</f>
        <v>24035329.454612944</v>
      </c>
      <c r="L20" s="111">
        <f ca="1">VLOOKUP(A20,FPE_FPM_ACORDO!$I$4:$L$30,4,FALSE)</f>
        <v>448698091.43585044</v>
      </c>
      <c r="M20" s="111">
        <f ca="1">VLOOKUP(A20,FPE_FPM_9478!$A$4:$K$30,11,FALSE)</f>
        <v>70493590.205955744</v>
      </c>
      <c r="N20" s="111">
        <f>VLOOKUP(A20,FPE_FPM_ACORDO!$N$4:$V$30,9,FALSE)</f>
        <v>328998396.33571881</v>
      </c>
      <c r="P20" s="188" t="s">
        <v>111</v>
      </c>
      <c r="Q20" s="189" t="s">
        <v>112</v>
      </c>
      <c r="R20" s="190">
        <v>0</v>
      </c>
      <c r="S20" s="191">
        <f ca="1">VLOOKUP(Q20,B85:$F$95,5,FALSE)</f>
        <v>16691170.659372481</v>
      </c>
      <c r="T20" s="192">
        <f t="shared" ca="1" si="2"/>
        <v>311595330.23389143</v>
      </c>
      <c r="U20" s="193">
        <f t="shared" ca="1" si="0"/>
        <v>17.668272980536774</v>
      </c>
      <c r="V20" s="191">
        <f t="shared" ca="1" si="3"/>
        <v>46101884.169846058</v>
      </c>
      <c r="W20" s="192">
        <f t="shared" ca="1" si="4"/>
        <v>215160639.64994329</v>
      </c>
      <c r="X20" s="193">
        <f t="shared" ca="1" si="1"/>
        <v>3.6670682451341934</v>
      </c>
    </row>
    <row r="21" spans="1:24" x14ac:dyDescent="0.15">
      <c r="A21" s="149" t="s">
        <v>111</v>
      </c>
      <c r="B21" s="90" t="s">
        <v>112</v>
      </c>
      <c r="C21" s="161">
        <v>0</v>
      </c>
      <c r="D21" s="161">
        <v>0</v>
      </c>
      <c r="E21" s="161">
        <v>0</v>
      </c>
      <c r="F21" s="161">
        <v>0</v>
      </c>
      <c r="G21" s="161">
        <v>0</v>
      </c>
      <c r="H21" s="82">
        <v>0</v>
      </c>
      <c r="I21" s="161">
        <v>0</v>
      </c>
      <c r="J21" s="82">
        <v>0</v>
      </c>
      <c r="K21" s="161">
        <f ca="1">VLOOKUP(A21,FPE_FPM_9478!$A$4:$D$30,4,FALSE)</f>
        <v>16691170.659372481</v>
      </c>
      <c r="L21" s="111">
        <f ca="1">VLOOKUP(A21,FPE_FPM_ACORDO!$I$4:$L$30,4,FALSE)</f>
        <v>311595330.23389143</v>
      </c>
      <c r="M21" s="111">
        <f ca="1">VLOOKUP(A21,FPE_FPM_9478!$A$4:$K$30,11,FALSE)</f>
        <v>46101884.169846058</v>
      </c>
      <c r="N21" s="111">
        <f>VLOOKUP(A21,FPE_FPM_ACORDO!$N$4:$V$30,9,FALSE)</f>
        <v>215160639.64994329</v>
      </c>
      <c r="P21" s="194" t="s">
        <v>18</v>
      </c>
      <c r="Q21" s="195" t="s">
        <v>113</v>
      </c>
      <c r="R21" s="196">
        <v>0</v>
      </c>
      <c r="S21" s="130">
        <f ca="1">VLOOKUP(Q21,B86:$F$95,5,FALSE)</f>
        <v>17008213.69384994</v>
      </c>
      <c r="T21" s="197">
        <f t="shared" ca="1" si="2"/>
        <v>182553265.41492233</v>
      </c>
      <c r="U21" s="198">
        <f t="shared" ca="1" si="0"/>
        <v>9.7332415208854304</v>
      </c>
      <c r="V21" s="130">
        <f t="shared" ca="1" si="3"/>
        <v>97795396.200844243</v>
      </c>
      <c r="W21" s="197">
        <f t="shared" ca="1" si="4"/>
        <v>446471758.31516868</v>
      </c>
      <c r="X21" s="198">
        <f t="shared" ca="1" si="1"/>
        <v>3.565365811272355</v>
      </c>
    </row>
    <row r="22" spans="1:24" x14ac:dyDescent="0.15">
      <c r="A22" s="149" t="s">
        <v>18</v>
      </c>
      <c r="B22" s="90" t="s">
        <v>113</v>
      </c>
      <c r="C22" s="82">
        <f>SUM('EST_LEI 9478'!Q26:Q29)</f>
        <v>7497148.2199999997</v>
      </c>
      <c r="D22" s="82">
        <f>SUM(EST_ACORDO!Q26:Q29)</f>
        <v>4998098.8133333344</v>
      </c>
      <c r="E22" s="82">
        <f>SUM('MUN_LEI 9478'!Q101:Q109)</f>
        <v>2625683.8800000004</v>
      </c>
      <c r="F22" s="82">
        <f>SUM(MUN_ACORDO!Q101:Q109)</f>
        <v>2308216.0440000002</v>
      </c>
      <c r="G22" s="161">
        <v>0</v>
      </c>
      <c r="H22" s="82">
        <v>0</v>
      </c>
      <c r="I22" s="161">
        <v>0</v>
      </c>
      <c r="J22" s="82">
        <v>0</v>
      </c>
      <c r="K22" s="161">
        <f ca="1">VLOOKUP(A22,FPE_FPM_9478!$A$4:$D$30,4,FALSE)</f>
        <v>9511065.4738499392</v>
      </c>
      <c r="L22" s="111">
        <f ca="1">VLOOKUP(A22,FPE_FPM_ACORDO!$I$4:$L$30,4,FALSE)</f>
        <v>177555166.60158899</v>
      </c>
      <c r="M22" s="111">
        <f ca="1">VLOOKUP(A22,FPE_FPM_9478!$A$4:$K$30,11,FALSE)</f>
        <v>95169712.320844248</v>
      </c>
      <c r="N22" s="111">
        <f>VLOOKUP(A22,FPE_FPM_ACORDO!$N$4:$V$30,9,FALSE)</f>
        <v>444163542.27116865</v>
      </c>
      <c r="P22" s="179" t="s">
        <v>19</v>
      </c>
      <c r="Q22" s="186" t="s">
        <v>114</v>
      </c>
      <c r="R22" s="200">
        <v>0.73799999999999999</v>
      </c>
      <c r="S22" s="206">
        <f ca="1">VLOOKUP(Q22,B87:$F$95,5,FALSE)</f>
        <v>13319042399.352884</v>
      </c>
      <c r="T22" s="207">
        <f t="shared" ca="1" si="2"/>
        <v>11136037777.164125</v>
      </c>
      <c r="U22" s="201">
        <f t="shared" ca="1" si="0"/>
        <v>-0.1639010190623631</v>
      </c>
      <c r="V22" s="206">
        <f t="shared" ca="1" si="3"/>
        <v>6682452751.3865929</v>
      </c>
      <c r="W22" s="207">
        <f t="shared" ca="1" si="4"/>
        <v>4144336200.5186791</v>
      </c>
      <c r="X22" s="201">
        <f t="shared" ca="1" si="1"/>
        <v>-0.37981810650906001</v>
      </c>
    </row>
    <row r="23" spans="1:24" x14ac:dyDescent="0.15">
      <c r="A23" s="149" t="s">
        <v>19</v>
      </c>
      <c r="B23" s="90" t="s">
        <v>114</v>
      </c>
      <c r="C23" s="82">
        <f>SUM('EST_LEI 9478'!Q30:Q33)</f>
        <v>4196824234.3266487</v>
      </c>
      <c r="D23" s="82">
        <f>SUM(EST_ACORDO!Q30:Q33)</f>
        <v>3196314114.1026664</v>
      </c>
      <c r="E23" s="82">
        <f>SUM('MUN_LEI 9478'!Q110:Q118)</f>
        <v>4354475022.7099991</v>
      </c>
      <c r="F23" s="82">
        <f>SUM(MUN_ACORDO!Q110:Q118)</f>
        <v>2771875795.5538888</v>
      </c>
      <c r="G23" s="161">
        <f>VLOOKUP(A23,PE!$A$3:$D$11,2,FALSE)</f>
        <v>9111788522.210001</v>
      </c>
      <c r="H23" s="82">
        <f>VLOOKUP(A23,PE!$A$3:$G$11,5,FALSE)</f>
        <v>7745020243.8785</v>
      </c>
      <c r="I23" s="161">
        <f>VLOOKUP(A23,PE!$A$3:$D$11,3,FALSE)</f>
        <v>2277949380.5999999</v>
      </c>
      <c r="J23" s="82">
        <f>VLOOKUP(A23,PE!$A$3:$G$11,6,FALSE)</f>
        <v>1138974690.3</v>
      </c>
      <c r="K23" s="161">
        <f ca="1">VLOOKUP(A23,FPE_FPM_9478!$A$4:$D$30,4,FALSE)</f>
        <v>10429642.816234384</v>
      </c>
      <c r="L23" s="111">
        <f ca="1">VLOOKUP(A23,FPE_FPM_ACORDO!$I$4:$L$30,4,FALSE)</f>
        <v>194703419.1829578</v>
      </c>
      <c r="M23" s="111">
        <f ca="1">VLOOKUP(A23,FPE_FPM_9478!$A$4:$K$30,11,FALSE)</f>
        <v>50028348.076593667</v>
      </c>
      <c r="N23" s="111">
        <f>VLOOKUP(A23,FPE_FPM_ACORDO!$N$4:$V$30,9,FALSE)</f>
        <v>233485714.66479063</v>
      </c>
      <c r="P23" s="194" t="s">
        <v>24</v>
      </c>
      <c r="Q23" s="195" t="s">
        <v>115</v>
      </c>
      <c r="R23" s="196">
        <v>0.01</v>
      </c>
      <c r="S23" s="130">
        <f ca="1">VLOOKUP(Q23,B88:$F$95,5,FALSE)</f>
        <v>200434233.39584374</v>
      </c>
      <c r="T23" s="197">
        <f t="shared" ca="1" si="2"/>
        <v>448419627.95952117</v>
      </c>
      <c r="U23" s="198">
        <f t="shared" ca="1" si="0"/>
        <v>1.2372407166290973</v>
      </c>
      <c r="V23" s="130">
        <f t="shared" ca="1" si="3"/>
        <v>285676586.7799437</v>
      </c>
      <c r="W23" s="197">
        <f t="shared" ca="1" si="4"/>
        <v>305149663.7299726</v>
      </c>
      <c r="X23" s="198">
        <f t="shared" ca="1" si="1"/>
        <v>6.8164763411392215E-2</v>
      </c>
    </row>
    <row r="24" spans="1:24" x14ac:dyDescent="0.15">
      <c r="A24" s="149" t="s">
        <v>24</v>
      </c>
      <c r="B24" s="90" t="s">
        <v>115</v>
      </c>
      <c r="C24" s="82">
        <f>SUM('EST_LEI 9478'!Q34:Q37)</f>
        <v>186213093.95000002</v>
      </c>
      <c r="D24" s="82">
        <f>SUM(EST_ACORDO!Q34:Q37)</f>
        <v>182935514.69023135</v>
      </c>
      <c r="E24" s="82">
        <f>SUM('MUN_LEI 9478'!Q119:Q127)</f>
        <v>248777321.92000002</v>
      </c>
      <c r="F24" s="82">
        <f>SUM(MUN_ACORDO!Q119:Q127)</f>
        <v>132938276.43333334</v>
      </c>
      <c r="G24" s="161">
        <f>VLOOKUP(A24,PE!$A$3:$D$11,2,FALSE)</f>
        <v>0</v>
      </c>
      <c r="H24" s="82">
        <f>VLOOKUP(A24,PE!$A$3:$G$11,5,FALSE)</f>
        <v>0</v>
      </c>
      <c r="I24" s="161">
        <f>VLOOKUP(A24,PE!$A$3:$D$11,3,FALSE)</f>
        <v>0</v>
      </c>
      <c r="J24" s="82">
        <f>VLOOKUP(A24,PE!$A$3:$G$11,6,FALSE)</f>
        <v>0</v>
      </c>
      <c r="K24" s="161">
        <f ca="1">VLOOKUP(A24,FPE_FPM_9478!$A$4:$D$30,4,FALSE)</f>
        <v>14221139.445843711</v>
      </c>
      <c r="L24" s="111">
        <f ca="1">VLOOKUP(A24,FPE_FPM_ACORDO!$I$4:$L$30,4,FALSE)</f>
        <v>265484113.26928982</v>
      </c>
      <c r="M24" s="111">
        <f ca="1">VLOOKUP(A24,FPE_FPM_9478!$A$4:$K$30,11,FALSE)</f>
        <v>36899264.859943703</v>
      </c>
      <c r="N24" s="111">
        <f>VLOOKUP(A24,FPE_FPM_ACORDO!$N$4:$V$30,9,FALSE)</f>
        <v>172211387.29663929</v>
      </c>
      <c r="P24" s="188" t="s">
        <v>116</v>
      </c>
      <c r="Q24" s="189" t="s">
        <v>117</v>
      </c>
      <c r="R24" s="190">
        <v>0</v>
      </c>
      <c r="S24" s="191">
        <f ca="1">VLOOKUP(Q24,B89:$F$95,5,FALSE)</f>
        <v>13279395.280992404</v>
      </c>
      <c r="T24" s="192">
        <f t="shared" ca="1" si="2"/>
        <v>247903376.12201801</v>
      </c>
      <c r="U24" s="193">
        <f t="shared" ca="1" si="0"/>
        <v>17.668272980536774</v>
      </c>
      <c r="V24" s="191">
        <f t="shared" ca="1" si="3"/>
        <v>16972599.658997905</v>
      </c>
      <c r="W24" s="192">
        <f t="shared" ca="1" si="4"/>
        <v>79212280.905884564</v>
      </c>
      <c r="X24" s="193">
        <f t="shared" ca="1" si="1"/>
        <v>3.6670682451341934</v>
      </c>
    </row>
    <row r="25" spans="1:24" x14ac:dyDescent="0.15">
      <c r="A25" s="149" t="s">
        <v>116</v>
      </c>
      <c r="B25" s="90" t="s">
        <v>117</v>
      </c>
      <c r="C25" s="161">
        <v>0</v>
      </c>
      <c r="D25" s="161">
        <v>0</v>
      </c>
      <c r="E25" s="161">
        <v>0</v>
      </c>
      <c r="F25" s="161">
        <v>0</v>
      </c>
      <c r="G25" s="161">
        <v>0</v>
      </c>
      <c r="H25" s="82">
        <v>0</v>
      </c>
      <c r="I25" s="161">
        <v>0</v>
      </c>
      <c r="J25" s="82">
        <v>0</v>
      </c>
      <c r="K25" s="161">
        <f ca="1">VLOOKUP(A25,FPE_FPM_9478!$A$4:$D$30,4,FALSE)</f>
        <v>13279395.280992404</v>
      </c>
      <c r="L25" s="111">
        <f ca="1">VLOOKUP(A25,FPE_FPM_ACORDO!$I$4:$L$30,4,FALSE)</f>
        <v>247903376.12201801</v>
      </c>
      <c r="M25" s="111">
        <f ca="1">VLOOKUP(A25,FPE_FPM_9478!$A$4:$K$30,11,FALSE)</f>
        <v>16972599.658997905</v>
      </c>
      <c r="N25" s="111">
        <f>VLOOKUP(A25,FPE_FPM_ACORDO!$N$4:$V$30,9,FALSE)</f>
        <v>79212280.905884564</v>
      </c>
      <c r="P25" s="188" t="s">
        <v>118</v>
      </c>
      <c r="Q25" s="189" t="s">
        <v>119</v>
      </c>
      <c r="R25" s="190">
        <v>0</v>
      </c>
      <c r="S25" s="191">
        <f ca="1">VLOOKUP(Q25,B90:$F$95,5,FALSE)</f>
        <v>9485421.7688870411</v>
      </c>
      <c r="T25" s="192">
        <f t="shared" ca="1" si="2"/>
        <v>177076442.91710925</v>
      </c>
      <c r="U25" s="193">
        <f t="shared" ca="1" si="0"/>
        <v>17.66827298053677</v>
      </c>
      <c r="V25" s="191">
        <f t="shared" ca="1" si="3"/>
        <v>9243470.0572692268</v>
      </c>
      <c r="W25" s="192">
        <f t="shared" ca="1" si="4"/>
        <v>43139905.579129949</v>
      </c>
      <c r="X25" s="193">
        <f t="shared" ca="1" si="1"/>
        <v>3.6670682451341934</v>
      </c>
    </row>
    <row r="26" spans="1:24" x14ac:dyDescent="0.15">
      <c r="A26" s="149" t="s">
        <v>118</v>
      </c>
      <c r="B26" s="90" t="s">
        <v>119</v>
      </c>
      <c r="C26" s="161">
        <v>0</v>
      </c>
      <c r="D26" s="161">
        <v>0</v>
      </c>
      <c r="E26" s="161">
        <v>0</v>
      </c>
      <c r="F26" s="161">
        <v>0</v>
      </c>
      <c r="G26" s="161">
        <v>0</v>
      </c>
      <c r="H26" s="82">
        <v>0</v>
      </c>
      <c r="I26" s="161">
        <v>0</v>
      </c>
      <c r="J26" s="82">
        <v>0</v>
      </c>
      <c r="K26" s="161">
        <f ca="1">VLOOKUP(A26,FPE_FPM_9478!$A$4:$D$30,4,FALSE)</f>
        <v>9485421.7688870411</v>
      </c>
      <c r="L26" s="111">
        <f ca="1">VLOOKUP(A26,FPE_FPM_ACORDO!$I$4:$L$30,4,FALSE)</f>
        <v>177076442.91710925</v>
      </c>
      <c r="M26" s="111">
        <f ca="1">VLOOKUP(A26,FPE_FPM_9478!$A$4:$K$30,11,FALSE)</f>
        <v>9243470.0572692268</v>
      </c>
      <c r="N26" s="111">
        <f>VLOOKUP(A26,FPE_FPM_ACORDO!$N$4:$V$30,9,FALSE)</f>
        <v>43139905.579129949</v>
      </c>
      <c r="P26" s="188" t="s">
        <v>20</v>
      </c>
      <c r="Q26" s="189" t="s">
        <v>120</v>
      </c>
      <c r="R26" s="190">
        <v>0</v>
      </c>
      <c r="S26" s="191">
        <f ca="1">VLOOKUP(Q26,B91:$F$95,5,FALSE)</f>
        <v>5334287.2445508726</v>
      </c>
      <c r="T26" s="192">
        <f t="shared" ca="1" si="2"/>
        <v>99581930.437870994</v>
      </c>
      <c r="U26" s="193">
        <f ca="1">(T26/S26)-1</f>
        <v>17.66827298053677</v>
      </c>
      <c r="V26" s="191">
        <f t="shared" ca="1" si="3"/>
        <v>195701875.32637018</v>
      </c>
      <c r="W26" s="192">
        <f t="shared" ca="1" si="4"/>
        <v>538286937.69036686</v>
      </c>
      <c r="X26" s="193">
        <f t="shared" ca="1" si="1"/>
        <v>1.750545628613271</v>
      </c>
    </row>
    <row r="27" spans="1:24" x14ac:dyDescent="0.15">
      <c r="A27" s="149" t="s">
        <v>20</v>
      </c>
      <c r="B27" s="90" t="s">
        <v>120</v>
      </c>
      <c r="C27" s="82">
        <v>0</v>
      </c>
      <c r="D27" s="82">
        <v>0</v>
      </c>
      <c r="E27" s="82">
        <f>SUM('MUN_LEI 9478'!Q128:Q136)</f>
        <v>87428497.090000018</v>
      </c>
      <c r="F27" s="82">
        <f>SUM(MUN_ACORDO!Q128:Q136)</f>
        <v>32967692.329999998</v>
      </c>
      <c r="G27" s="161">
        <v>0</v>
      </c>
      <c r="H27" s="82">
        <v>0</v>
      </c>
      <c r="I27" s="161">
        <v>0</v>
      </c>
      <c r="J27" s="82">
        <v>0</v>
      </c>
      <c r="K27" s="161">
        <f ca="1">VLOOKUP(A27,FPE_FPM_9478!$A$4:$D$30,4,FALSE)</f>
        <v>5334287.2445508726</v>
      </c>
      <c r="L27" s="111">
        <f ca="1">VLOOKUP(A27,FPE_FPM_ACORDO!$I$4:$L$30,4,FALSE)</f>
        <v>99581930.437870994</v>
      </c>
      <c r="M27" s="111">
        <f ca="1">VLOOKUP(A27,FPE_FPM_9478!$A$4:$K$30,11,FALSE)</f>
        <v>108273378.23637018</v>
      </c>
      <c r="N27" s="111">
        <f>VLOOKUP(A27,FPE_FPM_ACORDO!$N$4:$V$30,9,FALSE)</f>
        <v>505319245.36036688</v>
      </c>
      <c r="P27" s="188" t="s">
        <v>21</v>
      </c>
      <c r="Q27" s="189" t="s">
        <v>121</v>
      </c>
      <c r="R27" s="190">
        <v>0</v>
      </c>
      <c r="S27" s="191">
        <f ca="1">VLOOKUP(Q27,B92:$F$95,5,FALSE)</f>
        <v>5659773.7123347046</v>
      </c>
      <c r="T27" s="192">
        <f t="shared" ca="1" si="2"/>
        <v>105658200.66993026</v>
      </c>
      <c r="U27" s="193">
        <f ca="1">T27/S27-1</f>
        <v>17.66827298053677</v>
      </c>
      <c r="V27" s="191">
        <f t="shared" ca="1" si="3"/>
        <v>135642010.29460216</v>
      </c>
      <c r="W27" s="192">
        <f t="shared" ca="1" si="4"/>
        <v>340931565.4547708</v>
      </c>
      <c r="X27" s="193">
        <f t="shared" ca="1" si="1"/>
        <v>1.5134658850476952</v>
      </c>
    </row>
    <row r="28" spans="1:24" x14ac:dyDescent="0.15">
      <c r="A28" s="149" t="s">
        <v>21</v>
      </c>
      <c r="B28" s="90" t="s">
        <v>121</v>
      </c>
      <c r="C28" s="82">
        <v>0</v>
      </c>
      <c r="D28" s="82">
        <v>0</v>
      </c>
      <c r="E28" s="82">
        <f>SUM('MUN_LEI 9478'!Q137:Q145)</f>
        <v>68204759.170000017</v>
      </c>
      <c r="F28" s="82">
        <f>SUM(MUN_ACORDO!Q137:Q145)</f>
        <v>26197312.191999998</v>
      </c>
      <c r="G28" s="161">
        <v>0</v>
      </c>
      <c r="H28" s="82">
        <v>0</v>
      </c>
      <c r="I28" s="161">
        <v>0</v>
      </c>
      <c r="J28" s="82">
        <v>0</v>
      </c>
      <c r="K28" s="161">
        <f ca="1">VLOOKUP(A28,FPE_FPM_9478!$A$4:$D$30,4,FALSE)</f>
        <v>5659773.7123347046</v>
      </c>
      <c r="L28" s="111">
        <f ca="1">VLOOKUP(A28,FPE_FPM_ACORDO!$I$4:$L$30,4,FALSE)</f>
        <v>105658200.66993026</v>
      </c>
      <c r="M28" s="111">
        <f ca="1">VLOOKUP(A28,FPE_FPM_9478!$A$4:$K$30,11,FALSE)</f>
        <v>67437251.124602139</v>
      </c>
      <c r="N28" s="111">
        <f>VLOOKUP(A28,FPE_FPM_ACORDO!$N$4:$V$30,9,FALSE)</f>
        <v>314734253.26277083</v>
      </c>
      <c r="P28" s="194" t="s">
        <v>25</v>
      </c>
      <c r="Q28" s="195" t="s">
        <v>122</v>
      </c>
      <c r="R28" s="196">
        <v>6.0000000000000001E-3</v>
      </c>
      <c r="S28" s="130">
        <f ca="1">VLOOKUP(Q28,B93:$F$95,5,FALSE)</f>
        <v>98281636.506154671</v>
      </c>
      <c r="T28" s="197">
        <f t="shared" ca="1" si="2"/>
        <v>338591994.20999801</v>
      </c>
      <c r="U28" s="198">
        <f ca="1">T28/S28-1</f>
        <v>2.4451196199688274</v>
      </c>
      <c r="V28" s="130">
        <f t="shared" ca="1" si="3"/>
        <v>235830282.45746052</v>
      </c>
      <c r="W28" s="197">
        <f t="shared" ca="1" si="4"/>
        <v>201849000.74253875</v>
      </c>
      <c r="X28" s="198">
        <f t="shared" ca="1" si="1"/>
        <v>-0.14409210454578225</v>
      </c>
    </row>
    <row r="29" spans="1:24" x14ac:dyDescent="0.15">
      <c r="A29" s="149" t="s">
        <v>25</v>
      </c>
      <c r="B29" s="90" t="s">
        <v>122</v>
      </c>
      <c r="C29" s="82">
        <f>SUM('EST_LEI 9478'!Q38:Q41)</f>
        <v>84460935.469999999</v>
      </c>
      <c r="D29" s="82">
        <f>SUM(EST_ACORDO!Q38:Q41)</f>
        <v>80583374.484675288</v>
      </c>
      <c r="E29" s="82">
        <f>SUM('MUN_LEI 9478'!Q146:Q154)</f>
        <v>212892018.91000003</v>
      </c>
      <c r="F29" s="82">
        <f>SUM(MUN_ACORDO!Q146:Q154)</f>
        <v>94794559.341666684</v>
      </c>
      <c r="G29" s="161">
        <f>VLOOKUP(A29,PE!$A$3:$D$11,2,FALSE)</f>
        <v>0</v>
      </c>
      <c r="H29" s="82">
        <f>VLOOKUP(A29,PE!$A$3:$G$11,5,FALSE)</f>
        <v>0</v>
      </c>
      <c r="I29" s="161">
        <f>VLOOKUP(A29,PE!$A$3:$D$11,3,FALSE)</f>
        <v>0</v>
      </c>
      <c r="J29" s="82">
        <f>VLOOKUP(A29,PE!$A$3:$G$11,6,FALSE)</f>
        <v>0</v>
      </c>
      <c r="K29" s="161">
        <f ca="1">VLOOKUP(A29,FPE_FPM_9478!$A$4:$D$30,4,FALSE)</f>
        <v>13820701.036154669</v>
      </c>
      <c r="L29" s="111">
        <f ca="1">VLOOKUP(A29,FPE_FPM_ACORDO!$I$4:$L$30,4,FALSE)</f>
        <v>258008619.72532275</v>
      </c>
      <c r="M29" s="111">
        <f ca="1">VLOOKUP(A29,FPE_FPM_9478!$A$4:$K$30,11,FALSE)</f>
        <v>22938263.547460493</v>
      </c>
      <c r="N29" s="111">
        <f>VLOOKUP(A29,FPE_FPM_ACORDO!$N$4:$V$30,9,FALSE)</f>
        <v>107054441.40087208</v>
      </c>
      <c r="P29" s="179" t="s">
        <v>22</v>
      </c>
      <c r="Q29" s="186" t="s">
        <v>123</v>
      </c>
      <c r="R29" s="200">
        <v>0.104</v>
      </c>
      <c r="S29" s="206">
        <f ca="1">VLOOKUP(Q29,B94:$F$95,5,FALSE)</f>
        <v>2352729565.1670456</v>
      </c>
      <c r="T29" s="207">
        <f t="shared" ca="1" si="2"/>
        <v>1976522525.6498103</v>
      </c>
      <c r="U29" s="201">
        <f ca="1">T29/S29-1</f>
        <v>-0.15990237258336326</v>
      </c>
      <c r="V29" s="206">
        <f t="shared" ca="1" si="3"/>
        <v>1738726475.4420092</v>
      </c>
      <c r="W29" s="207">
        <f t="shared" ca="1" si="4"/>
        <v>1800989424.4469717</v>
      </c>
      <c r="X29" s="201">
        <f t="shared" ca="1" si="1"/>
        <v>3.5809513390617775E-2</v>
      </c>
    </row>
    <row r="30" spans="1:24" x14ac:dyDescent="0.15">
      <c r="A30" s="149" t="s">
        <v>22</v>
      </c>
      <c r="B30" s="90" t="s">
        <v>123</v>
      </c>
      <c r="C30" s="82">
        <f>SUM('EST_LEI 9478'!Q42:Q45)</f>
        <v>769402260.27999997</v>
      </c>
      <c r="D30" s="82">
        <f>SUM(EST_ACORDO!Q42:Q45)</f>
        <v>585549836.24444449</v>
      </c>
      <c r="E30" s="82">
        <f>SUM('MUN_LEI 9478'!Q155:Q163)</f>
        <v>1136900428.3600001</v>
      </c>
      <c r="F30" s="82">
        <f>SUM(MUN_ACORDO!Q155:Q163)</f>
        <v>639044997.27700007</v>
      </c>
      <c r="G30" s="161">
        <f>VLOOKUP(A30,PE!$A$3:$D$11,2,FALSE)</f>
        <v>1580793699.0599999</v>
      </c>
      <c r="H30" s="82">
        <f>VLOOKUP(A30,PE!$A$3:$G$11,5,FALSE)</f>
        <v>1343674644.201</v>
      </c>
      <c r="I30" s="161">
        <f>VLOOKUP(A30,PE!$A$3:$D$11,3,FALSE)</f>
        <v>395198424.74000001</v>
      </c>
      <c r="J30" s="82">
        <f>VLOOKUP(A30,PE!$A$3:$G$11,6,FALSE)</f>
        <v>197599212.37</v>
      </c>
      <c r="K30" s="161">
        <f ca="1">VLOOKUP(A30,FPE_FPM_9478!$A$4:$D$30,4,FALSE)</f>
        <v>2533605.8270455874</v>
      </c>
      <c r="L30" s="111">
        <f ca="1">VLOOKUP(A30,FPE_FPM_ACORDO!$I$4:$L$30,4,FALSE)</f>
        <v>47298045.204365656</v>
      </c>
      <c r="M30" s="111">
        <f ca="1">VLOOKUP(A30,FPE_FPM_9478!$A$4:$K$30,11,FALSE)</f>
        <v>206627622.34200913</v>
      </c>
      <c r="N30" s="111">
        <f>VLOOKUP(A30,FPE_FPM_ACORDO!$N$4:$V$30,9,FALSE)</f>
        <v>964345214.79997158</v>
      </c>
      <c r="P30" s="188" t="s">
        <v>124</v>
      </c>
      <c r="Q30" s="189" t="s">
        <v>125</v>
      </c>
      <c r="R30" s="190">
        <v>0</v>
      </c>
      <c r="S30" s="191">
        <f ca="1">VLOOKUP(Q30,B95:$F$95,5,FALSE)</f>
        <v>13998068.375333237</v>
      </c>
      <c r="T30" s="192">
        <f t="shared" ca="1" si="2"/>
        <v>261319761.63093972</v>
      </c>
      <c r="U30" s="193">
        <f ca="1">T30/S30-1</f>
        <v>17.66827298053677</v>
      </c>
      <c r="V30" s="191">
        <f t="shared" ca="1" si="3"/>
        <v>26029678.401507709</v>
      </c>
      <c r="W30" s="192">
        <f t="shared" ca="1" si="4"/>
        <v>121482285.49873202</v>
      </c>
      <c r="X30" s="193">
        <f t="shared" ca="1" si="1"/>
        <v>3.6670682451341943</v>
      </c>
    </row>
    <row r="31" spans="1:24" x14ac:dyDescent="0.15">
      <c r="A31" s="149" t="s">
        <v>124</v>
      </c>
      <c r="B31" s="90" t="s">
        <v>125</v>
      </c>
      <c r="C31" s="161">
        <v>0</v>
      </c>
      <c r="D31" s="161">
        <v>0</v>
      </c>
      <c r="E31" s="161">
        <v>0</v>
      </c>
      <c r="F31" s="161">
        <v>0</v>
      </c>
      <c r="G31" s="161">
        <v>0</v>
      </c>
      <c r="H31" s="82">
        <v>0</v>
      </c>
      <c r="I31" s="161">
        <v>0</v>
      </c>
      <c r="J31" s="82">
        <v>0</v>
      </c>
      <c r="K31" s="161">
        <f ca="1">VLOOKUP(A31,FPE_FPM_9478!$A$4:$D$30,4,FALSE)</f>
        <v>13998068.375333237</v>
      </c>
      <c r="L31" s="111">
        <f ca="1">VLOOKUP(A31,FPE_FPM_ACORDO!$I$4:$L$30,4,FALSE)</f>
        <v>261319761.63093972</v>
      </c>
      <c r="M31" s="111">
        <f ca="1">VLOOKUP(A31,FPE_FPM_9478!$A$4:$K$30,11,FALSE)</f>
        <v>26029678.401507709</v>
      </c>
      <c r="N31" s="111">
        <f>VLOOKUP(A31,FPE_FPM_ACORDO!$N$4:$V$30,9,FALSE)</f>
        <v>121482285.49873202</v>
      </c>
      <c r="P31" s="350" t="s">
        <v>28</v>
      </c>
      <c r="Q31" s="350"/>
      <c r="R31" s="202">
        <f>SUM(R4:R30)</f>
        <v>1</v>
      </c>
      <c r="S31" s="203">
        <f ca="1">SUM(S4:S30)</f>
        <v>19525622127.360424</v>
      </c>
      <c r="T31" s="203">
        <f ca="1">SUM(T4:T30)</f>
        <v>23123691220.015167</v>
      </c>
      <c r="U31" s="204" t="s">
        <v>174</v>
      </c>
      <c r="V31" s="203">
        <f ca="1">SUM(V4:V30)</f>
        <v>12572027526.255104</v>
      </c>
      <c r="W31" s="203">
        <f ca="1">SUM(W4:W30)</f>
        <v>13518461332.731256</v>
      </c>
      <c r="X31" s="205" t="s">
        <v>174</v>
      </c>
    </row>
    <row r="32" spans="1:24" x14ac:dyDescent="0.15">
      <c r="A32" s="98"/>
      <c r="B32" s="98"/>
      <c r="C32" s="112">
        <f>SUM(C6:C30)</f>
        <v>6595311128.7466488</v>
      </c>
      <c r="D32" s="112">
        <f>SUM(D5:D31)</f>
        <v>5204548777.7698669</v>
      </c>
      <c r="E32" s="112">
        <f>SUM(E5:E31)</f>
        <v>7881316439.0900002</v>
      </c>
      <c r="F32" s="112">
        <f>SUM(F5:F31)</f>
        <v>4691888585.9045553</v>
      </c>
      <c r="G32" s="112">
        <f t="shared" ref="G32:M32" ca="1" si="5">SUM(G5:G31)</f>
        <v>12541475441.936001</v>
      </c>
      <c r="H32" s="112">
        <f>SUM(H5:H31)</f>
        <v>10660254125.645599</v>
      </c>
      <c r="I32" s="112">
        <f t="shared" ca="1" si="5"/>
        <v>3135368860.4539995</v>
      </c>
      <c r="J32" s="112">
        <f>SUM(J5:J31)</f>
        <v>1567684430.2269998</v>
      </c>
      <c r="K32" s="112">
        <f t="shared" ca="1" si="5"/>
        <v>388835556.6777761</v>
      </c>
      <c r="L32" s="112">
        <f ca="1">SUM(L5:L31)</f>
        <v>7258888316.5997009</v>
      </c>
      <c r="M32" s="112">
        <f t="shared" ca="1" si="5"/>
        <v>1555342226.7111039</v>
      </c>
      <c r="N32" s="112">
        <f>SUM(N5:N31)</f>
        <v>7258888316.5997019</v>
      </c>
    </row>
    <row r="33" spans="1:11" x14ac:dyDescent="0.15">
      <c r="D33" s="113"/>
    </row>
    <row r="34" spans="1:11" x14ac:dyDescent="0.15">
      <c r="H34" s="170"/>
      <c r="K34" s="113"/>
    </row>
    <row r="35" spans="1:11" ht="15" customHeight="1" x14ac:dyDescent="0.15">
      <c r="A35" s="292" t="s">
        <v>264</v>
      </c>
      <c r="B35" s="342"/>
      <c r="C35" s="285" t="s">
        <v>26</v>
      </c>
      <c r="D35" s="285"/>
      <c r="E35" s="285" t="s">
        <v>27</v>
      </c>
      <c r="F35" s="285"/>
      <c r="H35" s="171"/>
    </row>
    <row r="36" spans="1:11" x14ac:dyDescent="0.15">
      <c r="A36" s="294"/>
      <c r="B36" s="328"/>
      <c r="C36" s="151" t="s">
        <v>144</v>
      </c>
      <c r="D36" s="151" t="s">
        <v>166</v>
      </c>
      <c r="E36" s="151" t="s">
        <v>144</v>
      </c>
      <c r="F36" s="151" t="s">
        <v>166</v>
      </c>
      <c r="H36" s="172"/>
      <c r="I36" s="172"/>
      <c r="J36" s="170"/>
    </row>
    <row r="37" spans="1:11" x14ac:dyDescent="0.15">
      <c r="A37" s="149" t="s">
        <v>90</v>
      </c>
      <c r="B37" s="90" t="s">
        <v>91</v>
      </c>
      <c r="C37" s="82">
        <f t="shared" ref="C37:C63" ca="1" si="6">C5+G5+K5</f>
        <v>15389594.182015995</v>
      </c>
      <c r="D37" s="82">
        <f t="shared" ref="D37:D63" ca="1" si="7">D5+H5+L5</f>
        <v>287297145.24955511</v>
      </c>
      <c r="E37" s="82">
        <f t="shared" ref="E37:E63" ca="1" si="8">E5+I5+M5</f>
        <v>10036552.542306878</v>
      </c>
      <c r="F37" s="82">
        <f t="shared" ref="F37:F63" si="9">F5+J5+N5</f>
        <v>46841275.660821289</v>
      </c>
      <c r="H37" s="173"/>
      <c r="I37" s="174"/>
      <c r="J37" s="170"/>
    </row>
    <row r="38" spans="1:11" x14ac:dyDescent="0.15">
      <c r="A38" s="149" t="s">
        <v>4</v>
      </c>
      <c r="B38" s="90" t="s">
        <v>92</v>
      </c>
      <c r="C38" s="82">
        <f t="shared" ca="1" si="6"/>
        <v>43157795.042436615</v>
      </c>
      <c r="D38" s="82">
        <f t="shared" ca="1" si="7"/>
        <v>368739434.05869067</v>
      </c>
      <c r="E38" s="82">
        <f t="shared" ca="1" si="8"/>
        <v>147736631.21788198</v>
      </c>
      <c r="F38" s="82">
        <f t="shared" si="9"/>
        <v>198710773.51455837</v>
      </c>
      <c r="H38" s="175"/>
      <c r="I38" s="176"/>
      <c r="J38" s="177"/>
    </row>
    <row r="39" spans="1:11" x14ac:dyDescent="0.15">
      <c r="A39" s="149" t="s">
        <v>8</v>
      </c>
      <c r="B39" s="90" t="s">
        <v>93</v>
      </c>
      <c r="C39" s="82">
        <f t="shared" ca="1" si="6"/>
        <v>283991753.27294576</v>
      </c>
      <c r="D39" s="82">
        <f t="shared" ca="1" si="7"/>
        <v>594907586.11982131</v>
      </c>
      <c r="E39" s="82">
        <f t="shared" ca="1" si="8"/>
        <v>155020887.59907594</v>
      </c>
      <c r="F39" s="82">
        <f t="shared" si="9"/>
        <v>223646903.37755412</v>
      </c>
      <c r="H39" s="173"/>
      <c r="I39" s="178"/>
      <c r="J39" s="173"/>
    </row>
    <row r="40" spans="1:11" x14ac:dyDescent="0.15">
      <c r="A40" s="149" t="s">
        <v>9</v>
      </c>
      <c r="B40" s="90" t="s">
        <v>94</v>
      </c>
      <c r="C40" s="82">
        <f t="shared" ca="1" si="6"/>
        <v>13785954.690809943</v>
      </c>
      <c r="D40" s="82">
        <f t="shared" ca="1" si="7"/>
        <v>257359965.46535143</v>
      </c>
      <c r="E40" s="82">
        <f t="shared" ca="1" si="8"/>
        <v>8083810.3772188863</v>
      </c>
      <c r="F40" s="82">
        <f t="shared" si="9"/>
        <v>36664628.395597398</v>
      </c>
      <c r="H40" s="173"/>
      <c r="I40" s="170"/>
      <c r="J40" s="170"/>
    </row>
    <row r="41" spans="1:11" x14ac:dyDescent="0.15">
      <c r="A41" s="179" t="s">
        <v>10</v>
      </c>
      <c r="B41" s="180" t="s">
        <v>95</v>
      </c>
      <c r="C41" s="181">
        <f t="shared" ca="1" si="6"/>
        <v>233369716.71219948</v>
      </c>
      <c r="D41" s="82">
        <f t="shared" ca="1" si="7"/>
        <v>803656432.22860944</v>
      </c>
      <c r="E41" s="82">
        <f t="shared" ca="1" si="8"/>
        <v>497540228.98719645</v>
      </c>
      <c r="F41" s="82">
        <f t="shared" si="9"/>
        <v>786375085.85276532</v>
      </c>
      <c r="H41" s="341"/>
      <c r="I41" s="341"/>
      <c r="J41" s="170"/>
    </row>
    <row r="42" spans="1:11" x14ac:dyDescent="0.15">
      <c r="A42" s="179" t="s">
        <v>11</v>
      </c>
      <c r="B42" s="180" t="s">
        <v>96</v>
      </c>
      <c r="C42" s="181">
        <f t="shared" ca="1" si="6"/>
        <v>39451146.39728342</v>
      </c>
      <c r="D42" s="82">
        <f t="shared" ca="1" si="7"/>
        <v>479344647.98876798</v>
      </c>
      <c r="E42" s="82">
        <f t="shared" ca="1" si="8"/>
        <v>177772730.48420933</v>
      </c>
      <c r="F42" s="82">
        <f t="shared" si="9"/>
        <v>375605790.45583069</v>
      </c>
      <c r="H42" s="182"/>
      <c r="I42" s="183"/>
      <c r="J42" s="170"/>
    </row>
    <row r="43" spans="1:11" x14ac:dyDescent="0.15">
      <c r="A43" s="179" t="s">
        <v>97</v>
      </c>
      <c r="B43" s="180" t="s">
        <v>98</v>
      </c>
      <c r="C43" s="181">
        <f t="shared" ca="1" si="6"/>
        <v>2533605.8270455874</v>
      </c>
      <c r="D43" s="82">
        <f t="shared" ca="1" si="7"/>
        <v>47298045.204365656</v>
      </c>
      <c r="E43" s="82">
        <f t="shared" ca="1" si="8"/>
        <v>2680469.0168027836</v>
      </c>
      <c r="F43" s="82">
        <f t="shared" si="9"/>
        <v>12509931.830386344</v>
      </c>
      <c r="H43" s="184"/>
      <c r="I43" s="184"/>
      <c r="J43" s="170"/>
    </row>
    <row r="44" spans="1:11" x14ac:dyDescent="0.15">
      <c r="A44" s="179" t="s">
        <v>12</v>
      </c>
      <c r="B44" s="180" t="s">
        <v>99</v>
      </c>
      <c r="C44" s="181">
        <f t="shared" ca="1" si="6"/>
        <v>2653177594.151053</v>
      </c>
      <c r="D44" s="82">
        <f t="shared" ca="1" si="7"/>
        <v>2360855694.041111</v>
      </c>
      <c r="E44" s="82">
        <f t="shared" ca="1" si="8"/>
        <v>1359571715.4901156</v>
      </c>
      <c r="F44" s="82">
        <f t="shared" si="9"/>
        <v>915650470.53729725</v>
      </c>
      <c r="H44" s="184"/>
      <c r="I44" s="184"/>
      <c r="J44" s="170"/>
    </row>
    <row r="45" spans="1:11" x14ac:dyDescent="0.15">
      <c r="A45" s="179" t="s">
        <v>100</v>
      </c>
      <c r="B45" s="180" t="s">
        <v>101</v>
      </c>
      <c r="C45" s="181">
        <f t="shared" ca="1" si="6"/>
        <v>12506051.907382676</v>
      </c>
      <c r="D45" s="82">
        <f t="shared" ca="1" si="7"/>
        <v>233466390.91578239</v>
      </c>
      <c r="E45" s="82">
        <f t="shared" ca="1" si="8"/>
        <v>58762128.046830997</v>
      </c>
      <c r="F45" s="82">
        <f t="shared" si="9"/>
        <v>274246861.82387429</v>
      </c>
      <c r="H45" s="184"/>
      <c r="I45" s="184"/>
      <c r="J45" s="170"/>
    </row>
    <row r="46" spans="1:11" x14ac:dyDescent="0.15">
      <c r="A46" s="179" t="s">
        <v>13</v>
      </c>
      <c r="B46" s="180" t="s">
        <v>102</v>
      </c>
      <c r="C46" s="181">
        <f t="shared" ca="1" si="6"/>
        <v>75896155.534274578</v>
      </c>
      <c r="D46" s="82">
        <f t="shared" ca="1" si="7"/>
        <v>530863912.15154886</v>
      </c>
      <c r="E46" s="82">
        <f t="shared" ca="1" si="8"/>
        <v>140410550.96943969</v>
      </c>
      <c r="F46" s="82">
        <f t="shared" si="9"/>
        <v>365196226.64747441</v>
      </c>
      <c r="H46" s="170"/>
      <c r="I46" s="170"/>
      <c r="J46" s="170"/>
    </row>
    <row r="47" spans="1:11" x14ac:dyDescent="0.15">
      <c r="A47" s="179" t="s">
        <v>14</v>
      </c>
      <c r="B47" s="180" t="s">
        <v>103</v>
      </c>
      <c r="C47" s="181">
        <f t="shared" ca="1" si="6"/>
        <v>19468895.225611512</v>
      </c>
      <c r="D47" s="82">
        <f t="shared" ca="1" si="7"/>
        <v>363450650.70118475</v>
      </c>
      <c r="E47" s="82">
        <f t="shared" ca="1" si="8"/>
        <v>205864665.87890387</v>
      </c>
      <c r="F47" s="82">
        <f t="shared" si="9"/>
        <v>906509446.06309748</v>
      </c>
      <c r="H47" s="185"/>
      <c r="I47" s="170"/>
      <c r="J47" s="170"/>
    </row>
    <row r="48" spans="1:11" x14ac:dyDescent="0.15">
      <c r="A48" s="179" t="s">
        <v>104</v>
      </c>
      <c r="B48" s="180" t="s">
        <v>105</v>
      </c>
      <c r="C48" s="181">
        <f t="shared" ca="1" si="6"/>
        <v>5960378.592846727</v>
      </c>
      <c r="D48" s="82">
        <f t="shared" ca="1" si="7"/>
        <v>111269974.63861033</v>
      </c>
      <c r="E48" s="82">
        <f t="shared" ca="1" si="8"/>
        <v>21744248.532498948</v>
      </c>
      <c r="F48" s="82">
        <f t="shared" si="9"/>
        <v>101481891.84033163</v>
      </c>
      <c r="H48" s="170"/>
      <c r="I48" s="170"/>
      <c r="J48" s="170"/>
    </row>
    <row r="49" spans="1:10" x14ac:dyDescent="0.15">
      <c r="A49" s="179" t="s">
        <v>106</v>
      </c>
      <c r="B49" s="180" t="s">
        <v>107</v>
      </c>
      <c r="C49" s="181">
        <f t="shared" ca="1" si="6"/>
        <v>9012663.8340115007</v>
      </c>
      <c r="D49" s="82">
        <f t="shared" ca="1" si="7"/>
        <v>168250868.73513782</v>
      </c>
      <c r="E49" s="82">
        <f t="shared" ca="1" si="8"/>
        <v>32855981.387326173</v>
      </c>
      <c r="F49" s="82">
        <f t="shared" si="9"/>
        <v>153341107.39551008</v>
      </c>
      <c r="H49" s="171"/>
      <c r="I49" s="171"/>
      <c r="J49" s="171"/>
    </row>
    <row r="50" spans="1:10" x14ac:dyDescent="0.15">
      <c r="A50" s="179" t="s">
        <v>15</v>
      </c>
      <c r="B50" s="180" t="s">
        <v>108</v>
      </c>
      <c r="C50" s="181">
        <f t="shared" ca="1" si="6"/>
        <v>24751832.846547514</v>
      </c>
      <c r="D50" s="82">
        <f t="shared" ca="1" si="7"/>
        <v>462073972.34796554</v>
      </c>
      <c r="E50" s="82">
        <f t="shared" ca="1" si="8"/>
        <v>64614568.954435505</v>
      </c>
      <c r="F50" s="82">
        <f t="shared" si="9"/>
        <v>295536560.48517251</v>
      </c>
    </row>
    <row r="51" spans="1:10" x14ac:dyDescent="0.15">
      <c r="A51" s="179" t="s">
        <v>16</v>
      </c>
      <c r="B51" s="180" t="s">
        <v>109</v>
      </c>
      <c r="C51" s="181">
        <f t="shared" ca="1" si="6"/>
        <v>17189494.532099586</v>
      </c>
      <c r="D51" s="82">
        <f t="shared" ca="1" si="7"/>
        <v>320898176.32267928</v>
      </c>
      <c r="E51" s="82">
        <f t="shared" ca="1" si="8"/>
        <v>88807249.139460891</v>
      </c>
      <c r="F51" s="82">
        <f t="shared" si="9"/>
        <v>237064879.11310822</v>
      </c>
    </row>
    <row r="52" spans="1:10" x14ac:dyDescent="0.15">
      <c r="A52" s="179" t="s">
        <v>17</v>
      </c>
      <c r="B52" s="180" t="s">
        <v>110</v>
      </c>
      <c r="C52" s="181">
        <f t="shared" ca="1" si="6"/>
        <v>24035329.454612944</v>
      </c>
      <c r="D52" s="82">
        <f t="shared" ca="1" si="7"/>
        <v>448698091.43585044</v>
      </c>
      <c r="E52" s="82">
        <f t="shared" ca="1" si="8"/>
        <v>130352097.45595574</v>
      </c>
      <c r="F52" s="82">
        <f t="shared" si="9"/>
        <v>352069837.20571882</v>
      </c>
    </row>
    <row r="53" spans="1:10" x14ac:dyDescent="0.15">
      <c r="A53" s="179" t="s">
        <v>111</v>
      </c>
      <c r="B53" s="180" t="s">
        <v>112</v>
      </c>
      <c r="C53" s="181">
        <f t="shared" ca="1" si="6"/>
        <v>16691170.659372481</v>
      </c>
      <c r="D53" s="82">
        <f t="shared" ca="1" si="7"/>
        <v>311595330.23389143</v>
      </c>
      <c r="E53" s="82">
        <f t="shared" ca="1" si="8"/>
        <v>46101884.169846058</v>
      </c>
      <c r="F53" s="82">
        <f t="shared" si="9"/>
        <v>215160639.64994329</v>
      </c>
      <c r="H53" s="113"/>
      <c r="I53" s="113"/>
    </row>
    <row r="54" spans="1:10" x14ac:dyDescent="0.15">
      <c r="A54" s="179" t="s">
        <v>18</v>
      </c>
      <c r="B54" s="180" t="s">
        <v>113</v>
      </c>
      <c r="C54" s="181">
        <f t="shared" ca="1" si="6"/>
        <v>17008213.69384994</v>
      </c>
      <c r="D54" s="82">
        <f t="shared" ca="1" si="7"/>
        <v>182553265.41492233</v>
      </c>
      <c r="E54" s="82">
        <f t="shared" ca="1" si="8"/>
        <v>97795396.200844243</v>
      </c>
      <c r="F54" s="82">
        <f t="shared" si="9"/>
        <v>446471758.31516868</v>
      </c>
      <c r="H54" s="113"/>
      <c r="I54" s="113"/>
    </row>
    <row r="55" spans="1:10" x14ac:dyDescent="0.15">
      <c r="A55" s="179" t="s">
        <v>19</v>
      </c>
      <c r="B55" s="180" t="s">
        <v>114</v>
      </c>
      <c r="C55" s="181">
        <f t="shared" ca="1" si="6"/>
        <v>13319042399.352884</v>
      </c>
      <c r="D55" s="82">
        <f t="shared" ca="1" si="7"/>
        <v>11136037777.164125</v>
      </c>
      <c r="E55" s="82">
        <f t="shared" ca="1" si="8"/>
        <v>6682452751.3865929</v>
      </c>
      <c r="F55" s="82">
        <f t="shared" si="9"/>
        <v>4144336200.5186791</v>
      </c>
      <c r="H55" s="168"/>
      <c r="I55" s="138"/>
    </row>
    <row r="56" spans="1:10" x14ac:dyDescent="0.15">
      <c r="A56" s="179" t="s">
        <v>24</v>
      </c>
      <c r="B56" s="180" t="s">
        <v>115</v>
      </c>
      <c r="C56" s="181">
        <f t="shared" ca="1" si="6"/>
        <v>200434233.39584374</v>
      </c>
      <c r="D56" s="82">
        <f t="shared" ca="1" si="7"/>
        <v>448419627.95952117</v>
      </c>
      <c r="E56" s="82">
        <f t="shared" ca="1" si="8"/>
        <v>285676586.7799437</v>
      </c>
      <c r="F56" s="82">
        <f t="shared" si="9"/>
        <v>305149663.7299726</v>
      </c>
      <c r="H56" s="168"/>
      <c r="I56" s="138"/>
    </row>
    <row r="57" spans="1:10" x14ac:dyDescent="0.15">
      <c r="A57" s="179" t="s">
        <v>116</v>
      </c>
      <c r="B57" s="180" t="s">
        <v>117</v>
      </c>
      <c r="C57" s="181">
        <f t="shared" ca="1" si="6"/>
        <v>13279395.280992404</v>
      </c>
      <c r="D57" s="82">
        <f t="shared" ca="1" si="7"/>
        <v>247903376.12201801</v>
      </c>
      <c r="E57" s="82">
        <f t="shared" ca="1" si="8"/>
        <v>16972599.658997905</v>
      </c>
      <c r="F57" s="82">
        <f t="shared" si="9"/>
        <v>79212280.905884564</v>
      </c>
      <c r="H57" s="168"/>
      <c r="I57" s="138"/>
    </row>
    <row r="58" spans="1:10" x14ac:dyDescent="0.15">
      <c r="A58" s="179" t="s">
        <v>118</v>
      </c>
      <c r="B58" s="180" t="s">
        <v>119</v>
      </c>
      <c r="C58" s="181">
        <f t="shared" ca="1" si="6"/>
        <v>9485421.7688870411</v>
      </c>
      <c r="D58" s="82">
        <f t="shared" ca="1" si="7"/>
        <v>177076442.91710925</v>
      </c>
      <c r="E58" s="82">
        <f t="shared" ca="1" si="8"/>
        <v>9243470.0572692268</v>
      </c>
      <c r="F58" s="82">
        <f t="shared" si="9"/>
        <v>43139905.579129949</v>
      </c>
      <c r="H58" s="168"/>
      <c r="I58" s="138"/>
    </row>
    <row r="59" spans="1:10" x14ac:dyDescent="0.15">
      <c r="A59" s="179" t="s">
        <v>20</v>
      </c>
      <c r="B59" s="180" t="s">
        <v>120</v>
      </c>
      <c r="C59" s="181">
        <f t="shared" ca="1" si="6"/>
        <v>5334287.2445508726</v>
      </c>
      <c r="D59" s="82">
        <f t="shared" ca="1" si="7"/>
        <v>99581930.437870994</v>
      </c>
      <c r="E59" s="82">
        <f t="shared" ca="1" si="8"/>
        <v>195701875.32637018</v>
      </c>
      <c r="F59" s="82">
        <f t="shared" si="9"/>
        <v>538286937.69036686</v>
      </c>
      <c r="H59" s="168"/>
      <c r="I59" s="138"/>
    </row>
    <row r="60" spans="1:10" x14ac:dyDescent="0.15">
      <c r="A60" s="179" t="s">
        <v>21</v>
      </c>
      <c r="B60" s="180" t="s">
        <v>121</v>
      </c>
      <c r="C60" s="181">
        <f t="shared" ca="1" si="6"/>
        <v>5659773.7123347046</v>
      </c>
      <c r="D60" s="82">
        <f t="shared" ca="1" si="7"/>
        <v>105658200.66993026</v>
      </c>
      <c r="E60" s="82">
        <f t="shared" ca="1" si="8"/>
        <v>135642010.29460216</v>
      </c>
      <c r="F60" s="82">
        <f t="shared" si="9"/>
        <v>340931565.4547708</v>
      </c>
      <c r="H60" s="168"/>
      <c r="I60" s="138"/>
    </row>
    <row r="61" spans="1:10" x14ac:dyDescent="0.15">
      <c r="A61" s="179" t="s">
        <v>25</v>
      </c>
      <c r="B61" s="180" t="s">
        <v>122</v>
      </c>
      <c r="C61" s="181">
        <f t="shared" ca="1" si="6"/>
        <v>98281636.506154671</v>
      </c>
      <c r="D61" s="82">
        <f t="shared" ca="1" si="7"/>
        <v>338591994.20999801</v>
      </c>
      <c r="E61" s="82">
        <f t="shared" ca="1" si="8"/>
        <v>235830282.45746052</v>
      </c>
      <c r="F61" s="82">
        <f t="shared" si="9"/>
        <v>201849000.74253875</v>
      </c>
      <c r="H61" s="168"/>
      <c r="I61" s="138"/>
    </row>
    <row r="62" spans="1:10" x14ac:dyDescent="0.15">
      <c r="A62" s="179" t="s">
        <v>22</v>
      </c>
      <c r="B62" s="180" t="s">
        <v>123</v>
      </c>
      <c r="C62" s="181">
        <f t="shared" ca="1" si="6"/>
        <v>2352729565.1670456</v>
      </c>
      <c r="D62" s="82">
        <f t="shared" ca="1" si="7"/>
        <v>1976522525.6498103</v>
      </c>
      <c r="E62" s="82">
        <f t="shared" ca="1" si="8"/>
        <v>1738726475.4420092</v>
      </c>
      <c r="F62" s="82">
        <f t="shared" si="9"/>
        <v>1800989424.4469717</v>
      </c>
      <c r="H62" s="168"/>
      <c r="I62" s="138"/>
    </row>
    <row r="63" spans="1:10" x14ac:dyDescent="0.15">
      <c r="A63" s="179" t="s">
        <v>124</v>
      </c>
      <c r="B63" s="180" t="s">
        <v>125</v>
      </c>
      <c r="C63" s="181">
        <f t="shared" ca="1" si="6"/>
        <v>13998068.375333237</v>
      </c>
      <c r="D63" s="82">
        <f t="shared" ca="1" si="7"/>
        <v>261319761.63093972</v>
      </c>
      <c r="E63" s="82">
        <f t="shared" ca="1" si="8"/>
        <v>26029678.401507709</v>
      </c>
      <c r="F63" s="82">
        <f t="shared" si="9"/>
        <v>121482285.49873202</v>
      </c>
      <c r="H63" s="168"/>
      <c r="I63" s="138"/>
    </row>
    <row r="64" spans="1:10" x14ac:dyDescent="0.15">
      <c r="A64" s="324" t="s">
        <v>28</v>
      </c>
      <c r="B64" s="324"/>
      <c r="C64" s="187">
        <f t="shared" ref="C64:F64" ca="1" si="10">SUM(C37:C63)</f>
        <v>19525622127.360424</v>
      </c>
      <c r="D64" s="187">
        <f t="shared" ca="1" si="10"/>
        <v>23123691220.015167</v>
      </c>
      <c r="E64" s="187">
        <f t="shared" ca="1" si="10"/>
        <v>12572027526.255104</v>
      </c>
      <c r="F64" s="187">
        <f t="shared" si="10"/>
        <v>13518461332.731256</v>
      </c>
      <c r="H64" s="168"/>
      <c r="I64" s="138"/>
    </row>
    <row r="65" spans="1:9" x14ac:dyDescent="0.15">
      <c r="H65" s="168"/>
      <c r="I65" s="138"/>
    </row>
    <row r="67" spans="1:9" x14ac:dyDescent="0.15">
      <c r="A67" s="347" t="s">
        <v>224</v>
      </c>
      <c r="B67" s="348"/>
      <c r="C67" s="348"/>
      <c r="D67" s="348"/>
      <c r="E67" s="348"/>
      <c r="F67" s="349"/>
    </row>
    <row r="68" spans="1:9" x14ac:dyDescent="0.15">
      <c r="A68" s="291" t="s">
        <v>264</v>
      </c>
      <c r="B68" s="291"/>
      <c r="C68" s="152" t="s">
        <v>29</v>
      </c>
      <c r="D68" s="152" t="s">
        <v>17</v>
      </c>
      <c r="E68" s="152" t="s">
        <v>228</v>
      </c>
      <c r="F68" s="153" t="s">
        <v>28</v>
      </c>
    </row>
    <row r="69" spans="1:9" x14ac:dyDescent="0.15">
      <c r="A69" s="149" t="s">
        <v>90</v>
      </c>
      <c r="B69" s="98" t="s">
        <v>91</v>
      </c>
      <c r="C69" s="82">
        <f ca="1">VLOOKUP(B69,$B$5:$N$31,2,FALSE)</f>
        <v>0</v>
      </c>
      <c r="D69" s="82">
        <f ca="1">VLOOKUP(B69,$B$5:$N$31,6,FALSE)</f>
        <v>0</v>
      </c>
      <c r="E69" s="82">
        <f ca="1">VLOOKUP(B69,$B$5:$N$31,10,FALSE)</f>
        <v>15389594.182015995</v>
      </c>
      <c r="F69" s="82">
        <f ca="1">SUM(C69:E69)</f>
        <v>15389594.182015995</v>
      </c>
    </row>
    <row r="70" spans="1:9" x14ac:dyDescent="0.15">
      <c r="A70" s="149" t="s">
        <v>4</v>
      </c>
      <c r="B70" s="98" t="s">
        <v>92</v>
      </c>
      <c r="C70" s="82">
        <f t="shared" ref="C70:C95" ca="1" si="11">VLOOKUP(B70,$B$5:$N$31,2,FALSE)</f>
        <v>24711965.049999997</v>
      </c>
      <c r="D70" s="82">
        <f t="shared" ref="D70:D95" ca="1" si="12">VLOOKUP(B70,$B$5:$N$31,6,FALSE)</f>
        <v>0</v>
      </c>
      <c r="E70" s="82">
        <f t="shared" ref="E70:E95" ca="1" si="13">VLOOKUP(B70,$B$5:$N$31,10,FALSE)</f>
        <v>18445829.992436614</v>
      </c>
      <c r="F70" s="82">
        <f ca="1">SUM(C70:E70)</f>
        <v>43157795.042436615</v>
      </c>
    </row>
    <row r="71" spans="1:9" x14ac:dyDescent="0.15">
      <c r="A71" s="149" t="s">
        <v>8</v>
      </c>
      <c r="B71" s="98" t="s">
        <v>93</v>
      </c>
      <c r="C71" s="82">
        <f t="shared" ca="1" si="11"/>
        <v>221484956.82999998</v>
      </c>
      <c r="D71" s="82">
        <f t="shared" ca="1" si="12"/>
        <v>44531325.270000003</v>
      </c>
      <c r="E71" s="82">
        <f t="shared" ca="1" si="13"/>
        <v>17975471.172945775</v>
      </c>
      <c r="F71" s="82">
        <f t="shared" ref="F71:F95" ca="1" si="14">SUM(C71:E71)</f>
        <v>283991753.27294576</v>
      </c>
    </row>
    <row r="72" spans="1:9" x14ac:dyDescent="0.15">
      <c r="A72" s="149" t="s">
        <v>9</v>
      </c>
      <c r="B72" s="98" t="s">
        <v>94</v>
      </c>
      <c r="C72" s="82">
        <f t="shared" ca="1" si="11"/>
        <v>0</v>
      </c>
      <c r="D72" s="82">
        <f t="shared" ca="1" si="12"/>
        <v>0</v>
      </c>
      <c r="E72" s="82">
        <f t="shared" ca="1" si="13"/>
        <v>13785954.690809943</v>
      </c>
      <c r="F72" s="82">
        <f t="shared" ca="1" si="14"/>
        <v>13785954.690809943</v>
      </c>
    </row>
    <row r="73" spans="1:9" x14ac:dyDescent="0.15">
      <c r="A73" s="149" t="s">
        <v>10</v>
      </c>
      <c r="B73" s="98" t="s">
        <v>95</v>
      </c>
      <c r="C73" s="82">
        <f t="shared" ca="1" si="11"/>
        <v>193700996.58000001</v>
      </c>
      <c r="D73" s="82">
        <f t="shared" ca="1" si="12"/>
        <v>6983576.5199999996</v>
      </c>
      <c r="E73" s="82">
        <f t="shared" ca="1" si="13"/>
        <v>32685143.612199444</v>
      </c>
      <c r="F73" s="82">
        <f t="shared" ca="1" si="14"/>
        <v>233369716.71219948</v>
      </c>
    </row>
    <row r="74" spans="1:9" x14ac:dyDescent="0.15">
      <c r="A74" s="149" t="s">
        <v>11</v>
      </c>
      <c r="B74" s="98" t="s">
        <v>96</v>
      </c>
      <c r="C74" s="82">
        <f t="shared" ca="1" si="11"/>
        <v>14413534.970000003</v>
      </c>
      <c r="D74" s="82">
        <f t="shared" ca="1" si="12"/>
        <v>0</v>
      </c>
      <c r="E74" s="82">
        <f t="shared" ca="1" si="13"/>
        <v>25037611.427283414</v>
      </c>
      <c r="F74" s="82">
        <f t="shared" ca="1" si="14"/>
        <v>39451146.39728342</v>
      </c>
    </row>
    <row r="75" spans="1:9" x14ac:dyDescent="0.15">
      <c r="A75" s="149" t="s">
        <v>97</v>
      </c>
      <c r="B75" s="98" t="s">
        <v>98</v>
      </c>
      <c r="C75" s="82">
        <f t="shared" ca="1" si="11"/>
        <v>0</v>
      </c>
      <c r="D75" s="82">
        <f t="shared" ca="1" si="12"/>
        <v>0</v>
      </c>
      <c r="E75" s="82">
        <f t="shared" ca="1" si="13"/>
        <v>2533605.8270455874</v>
      </c>
      <c r="F75" s="82">
        <f t="shared" ca="1" si="14"/>
        <v>2533605.8270455874</v>
      </c>
    </row>
    <row r="76" spans="1:9" x14ac:dyDescent="0.15">
      <c r="A76" s="149" t="s">
        <v>12</v>
      </c>
      <c r="B76" s="98" t="s">
        <v>99</v>
      </c>
      <c r="C76" s="82">
        <f t="shared" ca="1" si="11"/>
        <v>846465474.55000007</v>
      </c>
      <c r="D76" s="82">
        <f t="shared" ca="1" si="12"/>
        <v>1797369318.826</v>
      </c>
      <c r="E76" s="82">
        <f t="shared" ca="1" si="13"/>
        <v>9342800.7750531975</v>
      </c>
      <c r="F76" s="82">
        <f t="shared" ca="1" si="14"/>
        <v>2653177594.151053</v>
      </c>
    </row>
    <row r="77" spans="1:9" x14ac:dyDescent="0.15">
      <c r="A77" s="149" t="s">
        <v>100</v>
      </c>
      <c r="B77" s="98" t="s">
        <v>101</v>
      </c>
      <c r="C77" s="82">
        <f t="shared" ca="1" si="11"/>
        <v>0</v>
      </c>
      <c r="D77" s="82">
        <f t="shared" ca="1" si="12"/>
        <v>0</v>
      </c>
      <c r="E77" s="82">
        <f t="shared" ca="1" si="13"/>
        <v>12506051.907382676</v>
      </c>
      <c r="F77" s="82">
        <f t="shared" ca="1" si="14"/>
        <v>12506051.907382676</v>
      </c>
    </row>
    <row r="78" spans="1:9" x14ac:dyDescent="0.15">
      <c r="A78" s="149" t="s">
        <v>13</v>
      </c>
      <c r="B78" s="98" t="s">
        <v>102</v>
      </c>
      <c r="C78" s="82">
        <f t="shared" ca="1" si="11"/>
        <v>50136528.519999996</v>
      </c>
      <c r="D78" s="82">
        <f t="shared" ca="1" si="12"/>
        <v>9000.0499999999993</v>
      </c>
      <c r="E78" s="82">
        <f t="shared" ca="1" si="13"/>
        <v>25750626.964274585</v>
      </c>
      <c r="F78" s="82">
        <f t="shared" ca="1" si="14"/>
        <v>75896155.534274578</v>
      </c>
    </row>
    <row r="79" spans="1:9" x14ac:dyDescent="0.15">
      <c r="A79" s="149" t="s">
        <v>14</v>
      </c>
      <c r="B79" s="98" t="s">
        <v>103</v>
      </c>
      <c r="C79" s="82">
        <f t="shared" ca="1" si="11"/>
        <v>0</v>
      </c>
      <c r="D79" s="82">
        <f t="shared" ca="1" si="12"/>
        <v>0</v>
      </c>
      <c r="E79" s="82">
        <f t="shared" ca="1" si="13"/>
        <v>19468895.225611512</v>
      </c>
      <c r="F79" s="82">
        <f t="shared" ca="1" si="14"/>
        <v>19468895.225611512</v>
      </c>
    </row>
    <row r="80" spans="1:9" x14ac:dyDescent="0.15">
      <c r="A80" s="149" t="s">
        <v>104</v>
      </c>
      <c r="B80" s="98" t="s">
        <v>105</v>
      </c>
      <c r="C80" s="82">
        <f t="shared" ca="1" si="11"/>
        <v>0</v>
      </c>
      <c r="D80" s="82">
        <f t="shared" ca="1" si="12"/>
        <v>0</v>
      </c>
      <c r="E80" s="82">
        <f t="shared" ca="1" si="13"/>
        <v>5960378.592846727</v>
      </c>
      <c r="F80" s="82">
        <f t="shared" ca="1" si="14"/>
        <v>5960378.592846727</v>
      </c>
    </row>
    <row r="81" spans="1:6" x14ac:dyDescent="0.15">
      <c r="A81" s="149" t="s">
        <v>106</v>
      </c>
      <c r="B81" s="98" t="s">
        <v>107</v>
      </c>
      <c r="C81" s="82">
        <f t="shared" ca="1" si="11"/>
        <v>0</v>
      </c>
      <c r="D81" s="82">
        <f t="shared" ca="1" si="12"/>
        <v>0</v>
      </c>
      <c r="E81" s="82">
        <f t="shared" ca="1" si="13"/>
        <v>9012663.8340115007</v>
      </c>
      <c r="F81" s="82">
        <f t="shared" ca="1" si="14"/>
        <v>9012663.8340115007</v>
      </c>
    </row>
    <row r="82" spans="1:6" x14ac:dyDescent="0.15">
      <c r="A82" s="149" t="s">
        <v>15</v>
      </c>
      <c r="B82" s="98" t="s">
        <v>108</v>
      </c>
      <c r="C82" s="82">
        <f t="shared" ca="1" si="11"/>
        <v>0</v>
      </c>
      <c r="D82" s="82">
        <f t="shared" ca="1" si="12"/>
        <v>0</v>
      </c>
      <c r="E82" s="82">
        <f t="shared" ca="1" si="13"/>
        <v>24751832.846547514</v>
      </c>
      <c r="F82" s="82">
        <f t="shared" ca="1" si="14"/>
        <v>24751832.846547514</v>
      </c>
    </row>
    <row r="83" spans="1:6" x14ac:dyDescent="0.15">
      <c r="A83" s="149" t="s">
        <v>16</v>
      </c>
      <c r="B83" s="98" t="s">
        <v>109</v>
      </c>
      <c r="C83" s="82">
        <f t="shared" ca="1" si="11"/>
        <v>0</v>
      </c>
      <c r="D83" s="82">
        <f t="shared" ca="1" si="12"/>
        <v>0</v>
      </c>
      <c r="E83" s="82">
        <f t="shared" ca="1" si="13"/>
        <v>17189494.532099586</v>
      </c>
      <c r="F83" s="82">
        <f t="shared" ca="1" si="14"/>
        <v>17189494.532099586</v>
      </c>
    </row>
    <row r="84" spans="1:6" x14ac:dyDescent="0.15">
      <c r="A84" s="149" t="s">
        <v>17</v>
      </c>
      <c r="B84" s="98" t="s">
        <v>110</v>
      </c>
      <c r="C84" s="82">
        <f t="shared" ca="1" si="11"/>
        <v>0</v>
      </c>
      <c r="D84" s="82">
        <f t="shared" ca="1" si="12"/>
        <v>0</v>
      </c>
      <c r="E84" s="82">
        <f t="shared" ca="1" si="13"/>
        <v>24035329.454612944</v>
      </c>
      <c r="F84" s="82">
        <f t="shared" ca="1" si="14"/>
        <v>24035329.454612944</v>
      </c>
    </row>
    <row r="85" spans="1:6" x14ac:dyDescent="0.15">
      <c r="A85" s="149" t="s">
        <v>111</v>
      </c>
      <c r="B85" s="98" t="s">
        <v>112</v>
      </c>
      <c r="C85" s="82">
        <f t="shared" ca="1" si="11"/>
        <v>0</v>
      </c>
      <c r="D85" s="82">
        <f t="shared" ca="1" si="12"/>
        <v>0</v>
      </c>
      <c r="E85" s="82">
        <f t="shared" ca="1" si="13"/>
        <v>16691170.659372481</v>
      </c>
      <c r="F85" s="82">
        <f t="shared" ca="1" si="14"/>
        <v>16691170.659372481</v>
      </c>
    </row>
    <row r="86" spans="1:6" x14ac:dyDescent="0.15">
      <c r="A86" s="149" t="s">
        <v>18</v>
      </c>
      <c r="B86" s="98" t="s">
        <v>113</v>
      </c>
      <c r="C86" s="82">
        <f t="shared" ca="1" si="11"/>
        <v>7497148.2199999997</v>
      </c>
      <c r="D86" s="82">
        <f t="shared" ca="1" si="12"/>
        <v>0</v>
      </c>
      <c r="E86" s="82">
        <f t="shared" ca="1" si="13"/>
        <v>9511065.4738499392</v>
      </c>
      <c r="F86" s="82">
        <f t="shared" ca="1" si="14"/>
        <v>17008213.69384994</v>
      </c>
    </row>
    <row r="87" spans="1:6" x14ac:dyDescent="0.15">
      <c r="A87" s="149" t="s">
        <v>19</v>
      </c>
      <c r="B87" s="98" t="s">
        <v>114</v>
      </c>
      <c r="C87" s="82">
        <f t="shared" ca="1" si="11"/>
        <v>4196824234.3266487</v>
      </c>
      <c r="D87" s="82">
        <f t="shared" ca="1" si="12"/>
        <v>9111788522.210001</v>
      </c>
      <c r="E87" s="82">
        <f t="shared" ca="1" si="13"/>
        <v>10429642.816234384</v>
      </c>
      <c r="F87" s="82">
        <f t="shared" ca="1" si="14"/>
        <v>13319042399.352884</v>
      </c>
    </row>
    <row r="88" spans="1:6" x14ac:dyDescent="0.15">
      <c r="A88" s="149" t="s">
        <v>24</v>
      </c>
      <c r="B88" s="98" t="s">
        <v>115</v>
      </c>
      <c r="C88" s="82">
        <f t="shared" ca="1" si="11"/>
        <v>186213093.95000002</v>
      </c>
      <c r="D88" s="82">
        <f t="shared" ca="1" si="12"/>
        <v>0</v>
      </c>
      <c r="E88" s="82">
        <f t="shared" ca="1" si="13"/>
        <v>14221139.445843711</v>
      </c>
      <c r="F88" s="82">
        <f t="shared" ca="1" si="14"/>
        <v>200434233.39584374</v>
      </c>
    </row>
    <row r="89" spans="1:6" x14ac:dyDescent="0.15">
      <c r="A89" s="149" t="s">
        <v>116</v>
      </c>
      <c r="B89" s="98" t="s">
        <v>117</v>
      </c>
      <c r="C89" s="82">
        <f t="shared" ca="1" si="11"/>
        <v>0</v>
      </c>
      <c r="D89" s="82">
        <f t="shared" ca="1" si="12"/>
        <v>0</v>
      </c>
      <c r="E89" s="82">
        <f t="shared" ca="1" si="13"/>
        <v>13279395.280992404</v>
      </c>
      <c r="F89" s="82">
        <f t="shared" ca="1" si="14"/>
        <v>13279395.280992404</v>
      </c>
    </row>
    <row r="90" spans="1:6" x14ac:dyDescent="0.15">
      <c r="A90" s="149" t="s">
        <v>118</v>
      </c>
      <c r="B90" s="98" t="s">
        <v>119</v>
      </c>
      <c r="C90" s="82">
        <f t="shared" ca="1" si="11"/>
        <v>0</v>
      </c>
      <c r="D90" s="82">
        <f t="shared" ca="1" si="12"/>
        <v>0</v>
      </c>
      <c r="E90" s="82">
        <f t="shared" ca="1" si="13"/>
        <v>9485421.7688870411</v>
      </c>
      <c r="F90" s="82">
        <f t="shared" ca="1" si="14"/>
        <v>9485421.7688870411</v>
      </c>
    </row>
    <row r="91" spans="1:6" x14ac:dyDescent="0.15">
      <c r="A91" s="149" t="s">
        <v>20</v>
      </c>
      <c r="B91" s="98" t="s">
        <v>120</v>
      </c>
      <c r="C91" s="82">
        <f t="shared" ca="1" si="11"/>
        <v>0</v>
      </c>
      <c r="D91" s="82">
        <f t="shared" ca="1" si="12"/>
        <v>0</v>
      </c>
      <c r="E91" s="82">
        <f t="shared" ca="1" si="13"/>
        <v>5334287.2445508726</v>
      </c>
      <c r="F91" s="82">
        <f t="shared" ca="1" si="14"/>
        <v>5334287.2445508726</v>
      </c>
    </row>
    <row r="92" spans="1:6" x14ac:dyDescent="0.15">
      <c r="A92" s="149" t="s">
        <v>21</v>
      </c>
      <c r="B92" s="98" t="s">
        <v>121</v>
      </c>
      <c r="C92" s="82">
        <f t="shared" ca="1" si="11"/>
        <v>0</v>
      </c>
      <c r="D92" s="82">
        <f t="shared" ca="1" si="12"/>
        <v>0</v>
      </c>
      <c r="E92" s="82">
        <f t="shared" ca="1" si="13"/>
        <v>5659773.7123347046</v>
      </c>
      <c r="F92" s="82">
        <f t="shared" ca="1" si="14"/>
        <v>5659773.7123347046</v>
      </c>
    </row>
    <row r="93" spans="1:6" x14ac:dyDescent="0.15">
      <c r="A93" s="149" t="s">
        <v>25</v>
      </c>
      <c r="B93" s="98" t="s">
        <v>122</v>
      </c>
      <c r="C93" s="82">
        <f t="shared" ca="1" si="11"/>
        <v>84460935.469999999</v>
      </c>
      <c r="D93" s="82">
        <f t="shared" ca="1" si="12"/>
        <v>0</v>
      </c>
      <c r="E93" s="82">
        <f t="shared" ca="1" si="13"/>
        <v>13820701.036154669</v>
      </c>
      <c r="F93" s="82">
        <f t="shared" ca="1" si="14"/>
        <v>98281636.506154671</v>
      </c>
    </row>
    <row r="94" spans="1:6" x14ac:dyDescent="0.15">
      <c r="A94" s="149" t="s">
        <v>22</v>
      </c>
      <c r="B94" s="98" t="s">
        <v>123</v>
      </c>
      <c r="C94" s="82">
        <f t="shared" ca="1" si="11"/>
        <v>769402260.27999997</v>
      </c>
      <c r="D94" s="82">
        <f t="shared" ca="1" si="12"/>
        <v>1580793699.0599999</v>
      </c>
      <c r="E94" s="82">
        <f t="shared" ca="1" si="13"/>
        <v>2533605.8270455874</v>
      </c>
      <c r="F94" s="82">
        <f t="shared" ca="1" si="14"/>
        <v>2352729565.1670456</v>
      </c>
    </row>
    <row r="95" spans="1:6" x14ac:dyDescent="0.15">
      <c r="A95" s="149" t="s">
        <v>124</v>
      </c>
      <c r="B95" s="98" t="s">
        <v>125</v>
      </c>
      <c r="C95" s="82">
        <f t="shared" ca="1" si="11"/>
        <v>0</v>
      </c>
      <c r="D95" s="82">
        <f t="shared" ca="1" si="12"/>
        <v>0</v>
      </c>
      <c r="E95" s="82">
        <f t="shared" ca="1" si="13"/>
        <v>13998068.375333237</v>
      </c>
      <c r="F95" s="82">
        <f t="shared" ca="1" si="14"/>
        <v>13998068.375333237</v>
      </c>
    </row>
    <row r="96" spans="1:6" x14ac:dyDescent="0.15">
      <c r="A96" s="324" t="s">
        <v>28</v>
      </c>
      <c r="B96" s="324"/>
      <c r="C96" s="112">
        <f ca="1">SUM(C69:C95)</f>
        <v>6595311128.7466488</v>
      </c>
      <c r="D96" s="112">
        <f t="shared" ref="D96:F96" ca="1" si="15">SUM(D69:D95)</f>
        <v>12541475441.936001</v>
      </c>
      <c r="E96" s="112">
        <f t="shared" ca="1" si="15"/>
        <v>388835556.6777761</v>
      </c>
      <c r="F96" s="112">
        <f t="shared" ca="1" si="15"/>
        <v>19525622127.360424</v>
      </c>
    </row>
    <row r="97" spans="1:6" x14ac:dyDescent="0.15">
      <c r="A97" s="138"/>
      <c r="B97" s="138"/>
      <c r="C97" s="113"/>
      <c r="D97" s="113"/>
      <c r="E97" s="113"/>
    </row>
    <row r="98" spans="1:6" ht="15" customHeight="1" x14ac:dyDescent="0.15">
      <c r="A98" s="347" t="s">
        <v>225</v>
      </c>
      <c r="B98" s="348"/>
      <c r="C98" s="348"/>
      <c r="D98" s="348"/>
      <c r="E98" s="348"/>
      <c r="F98" s="349"/>
    </row>
    <row r="99" spans="1:6" x14ac:dyDescent="0.15">
      <c r="A99" s="291" t="s">
        <v>264</v>
      </c>
      <c r="B99" s="291"/>
      <c r="C99" s="152" t="s">
        <v>29</v>
      </c>
      <c r="D99" s="152" t="s">
        <v>17</v>
      </c>
      <c r="E99" s="152" t="s">
        <v>228</v>
      </c>
      <c r="F99" s="153" t="s">
        <v>28</v>
      </c>
    </row>
    <row r="100" spans="1:6" x14ac:dyDescent="0.15">
      <c r="A100" s="149" t="s">
        <v>90</v>
      </c>
      <c r="B100" s="98" t="s">
        <v>91</v>
      </c>
      <c r="C100" s="82">
        <f ca="1">VLOOKUP(B69,$B$5:$N$31,3,FALSE)</f>
        <v>0</v>
      </c>
      <c r="D100" s="82">
        <f ca="1">VLOOKUP(B69,$B$5:$N$31,7,FALSE)</f>
        <v>0</v>
      </c>
      <c r="E100" s="82">
        <f ca="1">VLOOKUP(B69,$B$5:$N$31,11,FALSE)</f>
        <v>287297145.24955511</v>
      </c>
      <c r="F100" s="82">
        <f ca="1">SUM(C100:E100)</f>
        <v>287297145.24955511</v>
      </c>
    </row>
    <row r="101" spans="1:6" x14ac:dyDescent="0.15">
      <c r="A101" s="149" t="s">
        <v>4</v>
      </c>
      <c r="B101" s="98" t="s">
        <v>92</v>
      </c>
      <c r="C101" s="82">
        <f t="shared" ref="C101:C126" ca="1" si="16">VLOOKUP(B70,$B$5:$N$31,3,FALSE)</f>
        <v>24387644.407311443</v>
      </c>
      <c r="D101" s="82">
        <f t="shared" ref="D101:D126" ca="1" si="17">VLOOKUP(B70,$B$5:$N$31,7,FALSE)</f>
        <v>0</v>
      </c>
      <c r="E101" s="82">
        <f t="shared" ref="E101:E126" ca="1" si="18">VLOOKUP(B70,$B$5:$N$31,11,FALSE)</f>
        <v>344351789.65137923</v>
      </c>
      <c r="F101" s="82">
        <f t="shared" ref="F101:F125" ca="1" si="19">SUM(C101:E101)</f>
        <v>368739434.05869067</v>
      </c>
    </row>
    <row r="102" spans="1:6" x14ac:dyDescent="0.15">
      <c r="A102" s="149" t="s">
        <v>8</v>
      </c>
      <c r="B102" s="98" t="s">
        <v>93</v>
      </c>
      <c r="C102" s="82">
        <f t="shared" ca="1" si="16"/>
        <v>221484956.82999998</v>
      </c>
      <c r="D102" s="82">
        <f t="shared" ca="1" si="17"/>
        <v>37851626.479500003</v>
      </c>
      <c r="E102" s="82">
        <f t="shared" ca="1" si="18"/>
        <v>335571002.81032127</v>
      </c>
      <c r="F102" s="82">
        <f t="shared" ca="1" si="19"/>
        <v>594907586.11982131</v>
      </c>
    </row>
    <row r="103" spans="1:6" x14ac:dyDescent="0.15">
      <c r="A103" s="149" t="s">
        <v>9</v>
      </c>
      <c r="B103" s="98" t="s">
        <v>94</v>
      </c>
      <c r="C103" s="82">
        <f t="shared" ca="1" si="16"/>
        <v>0</v>
      </c>
      <c r="D103" s="82">
        <f t="shared" ca="1" si="17"/>
        <v>0</v>
      </c>
      <c r="E103" s="82">
        <f t="shared" ca="1" si="18"/>
        <v>257359965.46535143</v>
      </c>
      <c r="F103" s="82">
        <f t="shared" ca="1" si="19"/>
        <v>257359965.46535143</v>
      </c>
    </row>
    <row r="104" spans="1:6" x14ac:dyDescent="0.15">
      <c r="A104" s="149" t="s">
        <v>10</v>
      </c>
      <c r="B104" s="98" t="s">
        <v>95</v>
      </c>
      <c r="C104" s="82">
        <f t="shared" ca="1" si="16"/>
        <v>187545208.82602254</v>
      </c>
      <c r="D104" s="82">
        <f t="shared" ca="1" si="17"/>
        <v>5936040.0419999994</v>
      </c>
      <c r="E104" s="82">
        <f t="shared" ca="1" si="18"/>
        <v>610175183.36058688</v>
      </c>
      <c r="F104" s="82">
        <f t="shared" ca="1" si="19"/>
        <v>803656432.22860944</v>
      </c>
    </row>
    <row r="105" spans="1:6" x14ac:dyDescent="0.15">
      <c r="A105" s="149" t="s">
        <v>11</v>
      </c>
      <c r="B105" s="98" t="s">
        <v>96</v>
      </c>
      <c r="C105" s="82">
        <f t="shared" ca="1" si="16"/>
        <v>11935683.083634235</v>
      </c>
      <c r="D105" s="82">
        <f t="shared" ca="1" si="17"/>
        <v>0</v>
      </c>
      <c r="E105" s="82">
        <f t="shared" ca="1" si="18"/>
        <v>467408964.90513372</v>
      </c>
      <c r="F105" s="82">
        <f t="shared" ca="1" si="19"/>
        <v>479344647.98876798</v>
      </c>
    </row>
    <row r="106" spans="1:6" x14ac:dyDescent="0.15">
      <c r="A106" s="149" t="s">
        <v>97</v>
      </c>
      <c r="B106" s="98" t="s">
        <v>98</v>
      </c>
      <c r="C106" s="82">
        <f t="shared" ca="1" si="16"/>
        <v>0</v>
      </c>
      <c r="D106" s="82">
        <f t="shared" ca="1" si="17"/>
        <v>0</v>
      </c>
      <c r="E106" s="82">
        <f t="shared" ca="1" si="18"/>
        <v>47298045.204365656</v>
      </c>
      <c r="F106" s="82">
        <f t="shared" ca="1" si="19"/>
        <v>47298045.204365656</v>
      </c>
    </row>
    <row r="107" spans="1:6" x14ac:dyDescent="0.15">
      <c r="A107" s="149" t="s">
        <v>12</v>
      </c>
      <c r="B107" s="98" t="s">
        <v>99</v>
      </c>
      <c r="C107" s="82">
        <f t="shared" ca="1" si="16"/>
        <v>658677817.76754701</v>
      </c>
      <c r="D107" s="82">
        <f t="shared" ca="1" si="17"/>
        <v>1527763921.0021</v>
      </c>
      <c r="E107" s="82">
        <f t="shared" ca="1" si="18"/>
        <v>174413955.27146363</v>
      </c>
      <c r="F107" s="82">
        <f t="shared" ca="1" si="19"/>
        <v>2360855694.041111</v>
      </c>
    </row>
    <row r="108" spans="1:6" x14ac:dyDescent="0.15">
      <c r="A108" s="149" t="s">
        <v>100</v>
      </c>
      <c r="B108" s="98" t="s">
        <v>101</v>
      </c>
      <c r="C108" s="82">
        <f t="shared" ca="1" si="16"/>
        <v>0</v>
      </c>
      <c r="D108" s="82">
        <f t="shared" ca="1" si="17"/>
        <v>0</v>
      </c>
      <c r="E108" s="82">
        <f t="shared" ca="1" si="18"/>
        <v>233466390.91578239</v>
      </c>
      <c r="F108" s="82">
        <f t="shared" ca="1" si="19"/>
        <v>233466390.91578239</v>
      </c>
    </row>
    <row r="109" spans="1:6" x14ac:dyDescent="0.15">
      <c r="A109" s="149" t="s">
        <v>13</v>
      </c>
      <c r="B109" s="98" t="s">
        <v>102</v>
      </c>
      <c r="C109" s="82">
        <f t="shared" ca="1" si="16"/>
        <v>50136528.519999996</v>
      </c>
      <c r="D109" s="82">
        <f t="shared" ca="1" si="17"/>
        <v>7650.0424999999987</v>
      </c>
      <c r="E109" s="82">
        <f t="shared" ca="1" si="18"/>
        <v>480719733.58904886</v>
      </c>
      <c r="F109" s="82">
        <f t="shared" ca="1" si="19"/>
        <v>530863912.15154886</v>
      </c>
    </row>
    <row r="110" spans="1:6" x14ac:dyDescent="0.15">
      <c r="A110" s="149" t="s">
        <v>14</v>
      </c>
      <c r="B110" s="98" t="s">
        <v>103</v>
      </c>
      <c r="C110" s="82">
        <f t="shared" ca="1" si="16"/>
        <v>0</v>
      </c>
      <c r="D110" s="82">
        <f t="shared" ca="1" si="17"/>
        <v>0</v>
      </c>
      <c r="E110" s="82">
        <f t="shared" ca="1" si="18"/>
        <v>363450650.70118475</v>
      </c>
      <c r="F110" s="82">
        <f t="shared" ca="1" si="19"/>
        <v>363450650.70118475</v>
      </c>
    </row>
    <row r="111" spans="1:6" x14ac:dyDescent="0.15">
      <c r="A111" s="149" t="s">
        <v>104</v>
      </c>
      <c r="B111" s="98" t="s">
        <v>105</v>
      </c>
      <c r="C111" s="82">
        <f t="shared" ca="1" si="16"/>
        <v>0</v>
      </c>
      <c r="D111" s="82">
        <f t="shared" ca="1" si="17"/>
        <v>0</v>
      </c>
      <c r="E111" s="82">
        <f t="shared" ca="1" si="18"/>
        <v>111269974.63861033</v>
      </c>
      <c r="F111" s="82">
        <f t="shared" ca="1" si="19"/>
        <v>111269974.63861033</v>
      </c>
    </row>
    <row r="112" spans="1:6" x14ac:dyDescent="0.15">
      <c r="A112" s="149" t="s">
        <v>106</v>
      </c>
      <c r="B112" s="98" t="s">
        <v>107</v>
      </c>
      <c r="C112" s="82">
        <f t="shared" ca="1" si="16"/>
        <v>0</v>
      </c>
      <c r="D112" s="82">
        <f t="shared" ca="1" si="17"/>
        <v>0</v>
      </c>
      <c r="E112" s="82">
        <f t="shared" ca="1" si="18"/>
        <v>168250868.73513782</v>
      </c>
      <c r="F112" s="82">
        <f t="shared" ca="1" si="19"/>
        <v>168250868.73513782</v>
      </c>
    </row>
    <row r="113" spans="1:6" x14ac:dyDescent="0.15">
      <c r="A113" s="149" t="s">
        <v>15</v>
      </c>
      <c r="B113" s="98" t="s">
        <v>108</v>
      </c>
      <c r="C113" s="82">
        <f t="shared" ca="1" si="16"/>
        <v>0</v>
      </c>
      <c r="D113" s="82">
        <f t="shared" ca="1" si="17"/>
        <v>0</v>
      </c>
      <c r="E113" s="82">
        <f t="shared" ca="1" si="18"/>
        <v>462073972.34796554</v>
      </c>
      <c r="F113" s="82">
        <f t="shared" ca="1" si="19"/>
        <v>462073972.34796554</v>
      </c>
    </row>
    <row r="114" spans="1:6" x14ac:dyDescent="0.15">
      <c r="A114" s="149" t="s">
        <v>16</v>
      </c>
      <c r="B114" s="98" t="s">
        <v>109</v>
      </c>
      <c r="C114" s="82">
        <f t="shared" ca="1" si="16"/>
        <v>0</v>
      </c>
      <c r="D114" s="82">
        <f t="shared" ca="1" si="17"/>
        <v>0</v>
      </c>
      <c r="E114" s="82">
        <f t="shared" ca="1" si="18"/>
        <v>320898176.32267928</v>
      </c>
      <c r="F114" s="82">
        <f t="shared" ca="1" si="19"/>
        <v>320898176.32267928</v>
      </c>
    </row>
    <row r="115" spans="1:6" x14ac:dyDescent="0.15">
      <c r="A115" s="149" t="s">
        <v>17</v>
      </c>
      <c r="B115" s="98" t="s">
        <v>110</v>
      </c>
      <c r="C115" s="82">
        <f t="shared" ca="1" si="16"/>
        <v>0</v>
      </c>
      <c r="D115" s="82">
        <f t="shared" ca="1" si="17"/>
        <v>0</v>
      </c>
      <c r="E115" s="82">
        <f t="shared" ca="1" si="18"/>
        <v>448698091.43585044</v>
      </c>
      <c r="F115" s="82">
        <f t="shared" ca="1" si="19"/>
        <v>448698091.43585044</v>
      </c>
    </row>
    <row r="116" spans="1:6" x14ac:dyDescent="0.15">
      <c r="A116" s="149" t="s">
        <v>111</v>
      </c>
      <c r="B116" s="98" t="s">
        <v>112</v>
      </c>
      <c r="C116" s="82">
        <f t="shared" ca="1" si="16"/>
        <v>0</v>
      </c>
      <c r="D116" s="82">
        <f t="shared" ca="1" si="17"/>
        <v>0</v>
      </c>
      <c r="E116" s="82">
        <f t="shared" ca="1" si="18"/>
        <v>311595330.23389143</v>
      </c>
      <c r="F116" s="82">
        <f t="shared" ca="1" si="19"/>
        <v>311595330.23389143</v>
      </c>
    </row>
    <row r="117" spans="1:6" x14ac:dyDescent="0.15">
      <c r="A117" s="149" t="s">
        <v>18</v>
      </c>
      <c r="B117" s="98" t="s">
        <v>113</v>
      </c>
      <c r="C117" s="82">
        <f t="shared" ca="1" si="16"/>
        <v>4998098.8133333344</v>
      </c>
      <c r="D117" s="82">
        <f t="shared" ca="1" si="17"/>
        <v>0</v>
      </c>
      <c r="E117" s="82">
        <f t="shared" ca="1" si="18"/>
        <v>177555166.60158899</v>
      </c>
      <c r="F117" s="82">
        <f t="shared" ca="1" si="19"/>
        <v>182553265.41492233</v>
      </c>
    </row>
    <row r="118" spans="1:6" x14ac:dyDescent="0.15">
      <c r="A118" s="149" t="s">
        <v>19</v>
      </c>
      <c r="B118" s="98" t="s">
        <v>114</v>
      </c>
      <c r="C118" s="82">
        <f t="shared" ca="1" si="16"/>
        <v>3196314114.1026664</v>
      </c>
      <c r="D118" s="82">
        <f t="shared" ca="1" si="17"/>
        <v>7745020243.8785</v>
      </c>
      <c r="E118" s="82">
        <f t="shared" ca="1" si="18"/>
        <v>194703419.1829578</v>
      </c>
      <c r="F118" s="82">
        <f t="shared" ca="1" si="19"/>
        <v>11136037777.164125</v>
      </c>
    </row>
    <row r="119" spans="1:6" x14ac:dyDescent="0.15">
      <c r="A119" s="149" t="s">
        <v>24</v>
      </c>
      <c r="B119" s="98" t="s">
        <v>115</v>
      </c>
      <c r="C119" s="82">
        <f t="shared" ca="1" si="16"/>
        <v>182935514.69023135</v>
      </c>
      <c r="D119" s="82">
        <f t="shared" ca="1" si="17"/>
        <v>0</v>
      </c>
      <c r="E119" s="82">
        <f t="shared" ca="1" si="18"/>
        <v>265484113.26928982</v>
      </c>
      <c r="F119" s="82">
        <f t="shared" ca="1" si="19"/>
        <v>448419627.95952117</v>
      </c>
    </row>
    <row r="120" spans="1:6" x14ac:dyDescent="0.15">
      <c r="A120" s="149" t="s">
        <v>116</v>
      </c>
      <c r="B120" s="98" t="s">
        <v>117</v>
      </c>
      <c r="C120" s="82">
        <f t="shared" ca="1" si="16"/>
        <v>0</v>
      </c>
      <c r="D120" s="82">
        <f t="shared" ca="1" si="17"/>
        <v>0</v>
      </c>
      <c r="E120" s="82">
        <f t="shared" ca="1" si="18"/>
        <v>247903376.12201801</v>
      </c>
      <c r="F120" s="82">
        <f t="shared" ca="1" si="19"/>
        <v>247903376.12201801</v>
      </c>
    </row>
    <row r="121" spans="1:6" x14ac:dyDescent="0.15">
      <c r="A121" s="149" t="s">
        <v>118</v>
      </c>
      <c r="B121" s="98" t="s">
        <v>119</v>
      </c>
      <c r="C121" s="82">
        <f t="shared" ca="1" si="16"/>
        <v>0</v>
      </c>
      <c r="D121" s="82">
        <f t="shared" ca="1" si="17"/>
        <v>0</v>
      </c>
      <c r="E121" s="82">
        <f t="shared" ca="1" si="18"/>
        <v>177076442.91710925</v>
      </c>
      <c r="F121" s="82">
        <f t="shared" ca="1" si="19"/>
        <v>177076442.91710925</v>
      </c>
    </row>
    <row r="122" spans="1:6" x14ac:dyDescent="0.15">
      <c r="A122" s="149" t="s">
        <v>20</v>
      </c>
      <c r="B122" s="98" t="s">
        <v>120</v>
      </c>
      <c r="C122" s="82">
        <f t="shared" ca="1" si="16"/>
        <v>0</v>
      </c>
      <c r="D122" s="82">
        <f t="shared" ca="1" si="17"/>
        <v>0</v>
      </c>
      <c r="E122" s="82">
        <f t="shared" ca="1" si="18"/>
        <v>99581930.437870994</v>
      </c>
      <c r="F122" s="82">
        <f t="shared" ca="1" si="19"/>
        <v>99581930.437870994</v>
      </c>
    </row>
    <row r="123" spans="1:6" x14ac:dyDescent="0.15">
      <c r="A123" s="149" t="s">
        <v>21</v>
      </c>
      <c r="B123" s="98" t="s">
        <v>121</v>
      </c>
      <c r="C123" s="82">
        <f t="shared" ca="1" si="16"/>
        <v>0</v>
      </c>
      <c r="D123" s="82">
        <f t="shared" ca="1" si="17"/>
        <v>0</v>
      </c>
      <c r="E123" s="82">
        <f t="shared" ca="1" si="18"/>
        <v>105658200.66993026</v>
      </c>
      <c r="F123" s="82">
        <f t="shared" ca="1" si="19"/>
        <v>105658200.66993026</v>
      </c>
    </row>
    <row r="124" spans="1:6" x14ac:dyDescent="0.15">
      <c r="A124" s="149" t="s">
        <v>25</v>
      </c>
      <c r="B124" s="98" t="s">
        <v>122</v>
      </c>
      <c r="C124" s="82">
        <f t="shared" ca="1" si="16"/>
        <v>80583374.484675288</v>
      </c>
      <c r="D124" s="82">
        <f t="shared" ca="1" si="17"/>
        <v>0</v>
      </c>
      <c r="E124" s="82">
        <f t="shared" ca="1" si="18"/>
        <v>258008619.72532275</v>
      </c>
      <c r="F124" s="82">
        <f t="shared" ca="1" si="19"/>
        <v>338591994.20999801</v>
      </c>
    </row>
    <row r="125" spans="1:6" x14ac:dyDescent="0.15">
      <c r="A125" s="149" t="s">
        <v>22</v>
      </c>
      <c r="B125" s="98" t="s">
        <v>123</v>
      </c>
      <c r="C125" s="82">
        <f t="shared" ca="1" si="16"/>
        <v>585549836.24444449</v>
      </c>
      <c r="D125" s="82">
        <f t="shared" ca="1" si="17"/>
        <v>1343674644.201</v>
      </c>
      <c r="E125" s="82">
        <f t="shared" ca="1" si="18"/>
        <v>47298045.204365656</v>
      </c>
      <c r="F125" s="82">
        <f t="shared" ca="1" si="19"/>
        <v>1976522525.6498103</v>
      </c>
    </row>
    <row r="126" spans="1:6" x14ac:dyDescent="0.15">
      <c r="A126" s="149" t="s">
        <v>124</v>
      </c>
      <c r="B126" s="98" t="s">
        <v>125</v>
      </c>
      <c r="C126" s="82">
        <f t="shared" ca="1" si="16"/>
        <v>0</v>
      </c>
      <c r="D126" s="82">
        <f t="shared" ca="1" si="17"/>
        <v>0</v>
      </c>
      <c r="E126" s="82">
        <f t="shared" ca="1" si="18"/>
        <v>261319761.63093972</v>
      </c>
      <c r="F126" s="82">
        <f ca="1">SUM(C126:E126)</f>
        <v>261319761.63093972</v>
      </c>
    </row>
    <row r="127" spans="1:6" x14ac:dyDescent="0.15">
      <c r="A127" s="324" t="s">
        <v>28</v>
      </c>
      <c r="B127" s="324"/>
      <c r="C127" s="112">
        <f ca="1">SUM(C100:C126)</f>
        <v>5204548777.7698669</v>
      </c>
      <c r="D127" s="112">
        <f t="shared" ref="D127" ca="1" si="20">SUM(D100:D126)</f>
        <v>10660254125.645599</v>
      </c>
      <c r="E127" s="112">
        <f t="shared" ref="E127" ca="1" si="21">SUM(E100:E126)</f>
        <v>7258888316.5997009</v>
      </c>
      <c r="F127" s="112">
        <f t="shared" ref="F127" ca="1" si="22">SUM(F100:F126)</f>
        <v>23123691220.015167</v>
      </c>
    </row>
    <row r="128" spans="1:6" x14ac:dyDescent="0.15">
      <c r="C128" s="113"/>
      <c r="D128" s="113"/>
      <c r="E128" s="113"/>
    </row>
    <row r="129" spans="1:6" ht="15" customHeight="1" x14ac:dyDescent="0.15">
      <c r="A129" s="347" t="s">
        <v>226</v>
      </c>
      <c r="B129" s="348"/>
      <c r="C129" s="348"/>
      <c r="D129" s="348"/>
      <c r="E129" s="348"/>
      <c r="F129" s="349"/>
    </row>
    <row r="130" spans="1:6" x14ac:dyDescent="0.15">
      <c r="A130" s="291" t="s">
        <v>264</v>
      </c>
      <c r="B130" s="291"/>
      <c r="C130" s="152" t="s">
        <v>29</v>
      </c>
      <c r="D130" s="152" t="s">
        <v>17</v>
      </c>
      <c r="E130" s="152" t="s">
        <v>229</v>
      </c>
      <c r="F130" s="153" t="s">
        <v>28</v>
      </c>
    </row>
    <row r="131" spans="1:6" x14ac:dyDescent="0.15">
      <c r="A131" s="149" t="s">
        <v>90</v>
      </c>
      <c r="B131" s="98" t="s">
        <v>91</v>
      </c>
      <c r="C131" s="82">
        <f ca="1">VLOOKUP(B69,$B$5:$N$31,4,FALSE)</f>
        <v>0</v>
      </c>
      <c r="D131" s="82">
        <f ca="1">VLOOKUP(B69,$B$5:$N$31,8,FALSE)</f>
        <v>0</v>
      </c>
      <c r="E131" s="82">
        <f ca="1">VLOOKUP(B69,$B$5:$N$31,12,FALSE)</f>
        <v>10036552.542306878</v>
      </c>
      <c r="F131" s="82">
        <f ca="1">SUM(C131:E131)</f>
        <v>10036552.542306878</v>
      </c>
    </row>
    <row r="132" spans="1:6" x14ac:dyDescent="0.15">
      <c r="A132" s="149" t="s">
        <v>4</v>
      </c>
      <c r="B132" s="98" t="s">
        <v>92</v>
      </c>
      <c r="C132" s="82">
        <f t="shared" ref="C132:C157" ca="1" si="23">VLOOKUP(B70,$B$5:$N$31,4,FALSE)</f>
        <v>115363463.43000002</v>
      </c>
      <c r="D132" s="82">
        <f t="shared" ref="D132:D157" ca="1" si="24">VLOOKUP(B70,$B$5:$N$31,8,FALSE)</f>
        <v>0</v>
      </c>
      <c r="E132" s="82">
        <f t="shared" ref="E132:E157" ca="1" si="25">VLOOKUP(B70,$B$5:$N$31,12,FALSE)</f>
        <v>32373167.787881959</v>
      </c>
      <c r="F132" s="82">
        <f t="shared" ref="F132:F157" ca="1" si="26">SUM(C132:E132)</f>
        <v>147736631.21788198</v>
      </c>
    </row>
    <row r="133" spans="1:6" x14ac:dyDescent="0.15">
      <c r="A133" s="149" t="s">
        <v>8</v>
      </c>
      <c r="B133" s="98" t="s">
        <v>93</v>
      </c>
      <c r="C133" s="82">
        <f t="shared" ca="1" si="23"/>
        <v>116419723.79000002</v>
      </c>
      <c r="D133" s="82">
        <f t="shared" ca="1" si="24"/>
        <v>11132831.319999998</v>
      </c>
      <c r="E133" s="82">
        <f t="shared" ca="1" si="25"/>
        <v>27468332.489075921</v>
      </c>
      <c r="F133" s="82">
        <f t="shared" ca="1" si="26"/>
        <v>155020887.59907594</v>
      </c>
    </row>
    <row r="134" spans="1:6" x14ac:dyDescent="0.15">
      <c r="A134" s="149" t="s">
        <v>9</v>
      </c>
      <c r="B134" s="98" t="s">
        <v>94</v>
      </c>
      <c r="C134" s="82">
        <f t="shared" ca="1" si="23"/>
        <v>278216.12999999989</v>
      </c>
      <c r="D134" s="82">
        <f t="shared" ca="1" si="24"/>
        <v>0</v>
      </c>
      <c r="E134" s="82">
        <f t="shared" ca="1" si="25"/>
        <v>7805594.2472188864</v>
      </c>
      <c r="F134" s="82">
        <f t="shared" ca="1" si="26"/>
        <v>8083810.3772188863</v>
      </c>
    </row>
    <row r="135" spans="1:6" x14ac:dyDescent="0.15">
      <c r="A135" s="149" t="s">
        <v>10</v>
      </c>
      <c r="B135" s="98" t="s">
        <v>95</v>
      </c>
      <c r="C135" s="82">
        <f t="shared" ca="1" si="23"/>
        <v>364164872.87</v>
      </c>
      <c r="D135" s="82">
        <f t="shared" ca="1" si="24"/>
        <v>1745894.13</v>
      </c>
      <c r="E135" s="82">
        <f t="shared" ca="1" si="25"/>
        <v>131629461.98719648</v>
      </c>
      <c r="F135" s="82">
        <f t="shared" ca="1" si="26"/>
        <v>497540228.98719645</v>
      </c>
    </row>
    <row r="136" spans="1:6" x14ac:dyDescent="0.15">
      <c r="A136" s="149" t="s">
        <v>11</v>
      </c>
      <c r="B136" s="98" t="s">
        <v>96</v>
      </c>
      <c r="C136" s="82">
        <f t="shared" ca="1" si="23"/>
        <v>105706512.7</v>
      </c>
      <c r="D136" s="82">
        <f t="shared" ca="1" si="24"/>
        <v>0</v>
      </c>
      <c r="E136" s="82">
        <f t="shared" ca="1" si="25"/>
        <v>72066217.784209326</v>
      </c>
      <c r="F136" s="82">
        <f t="shared" ca="1" si="26"/>
        <v>177772730.48420933</v>
      </c>
    </row>
    <row r="137" spans="1:6" x14ac:dyDescent="0.15">
      <c r="A137" s="149" t="s">
        <v>97</v>
      </c>
      <c r="B137" s="98" t="s">
        <v>98</v>
      </c>
      <c r="C137" s="82">
        <f t="shared" ca="1" si="23"/>
        <v>0</v>
      </c>
      <c r="D137" s="82">
        <f t="shared" ca="1" si="24"/>
        <v>0</v>
      </c>
      <c r="E137" s="82">
        <f t="shared" ca="1" si="25"/>
        <v>2680469.0168027836</v>
      </c>
      <c r="F137" s="82">
        <f t="shared" ca="1" si="26"/>
        <v>2680469.0168027836</v>
      </c>
    </row>
    <row r="138" spans="1:6" x14ac:dyDescent="0.15">
      <c r="A138" s="149" t="s">
        <v>12</v>
      </c>
      <c r="B138" s="98" t="s">
        <v>99</v>
      </c>
      <c r="C138" s="82">
        <f t="shared" ca="1" si="23"/>
        <v>882562672.01000011</v>
      </c>
      <c r="D138" s="82">
        <f t="shared" ca="1" si="24"/>
        <v>449342329.66399997</v>
      </c>
      <c r="E138" s="82">
        <f t="shared" ca="1" si="25"/>
        <v>27666713.816115547</v>
      </c>
      <c r="F138" s="82">
        <f t="shared" ca="1" si="26"/>
        <v>1359571715.4901156</v>
      </c>
    </row>
    <row r="139" spans="1:6" x14ac:dyDescent="0.15">
      <c r="A139" s="149" t="s">
        <v>100</v>
      </c>
      <c r="B139" s="98" t="s">
        <v>101</v>
      </c>
      <c r="C139" s="82">
        <f t="shared" ca="1" si="23"/>
        <v>0</v>
      </c>
      <c r="D139" s="82">
        <f t="shared" ca="1" si="24"/>
        <v>0</v>
      </c>
      <c r="E139" s="82">
        <f t="shared" ca="1" si="25"/>
        <v>58762128.046830997</v>
      </c>
      <c r="F139" s="82">
        <f t="shared" ca="1" si="26"/>
        <v>58762128.046830997</v>
      </c>
    </row>
    <row r="140" spans="1:6" x14ac:dyDescent="0.15">
      <c r="A140" s="149" t="s">
        <v>13</v>
      </c>
      <c r="B140" s="98" t="s">
        <v>102</v>
      </c>
      <c r="C140" s="82">
        <f t="shared" ca="1" si="23"/>
        <v>69632029.74000001</v>
      </c>
      <c r="D140" s="82">
        <f t="shared" ca="1" si="24"/>
        <v>0</v>
      </c>
      <c r="E140" s="82">
        <f t="shared" ca="1" si="25"/>
        <v>70778521.229439691</v>
      </c>
      <c r="F140" s="82">
        <f t="shared" ca="1" si="26"/>
        <v>140410550.96943969</v>
      </c>
    </row>
    <row r="141" spans="1:6" x14ac:dyDescent="0.15">
      <c r="A141" s="149" t="s">
        <v>14</v>
      </c>
      <c r="B141" s="98" t="s">
        <v>103</v>
      </c>
      <c r="C141" s="82">
        <f t="shared" ca="1" si="23"/>
        <v>12522817.420000002</v>
      </c>
      <c r="D141" s="82">
        <f t="shared" ca="1" si="24"/>
        <v>0</v>
      </c>
      <c r="E141" s="82">
        <f t="shared" ca="1" si="25"/>
        <v>193341848.45890385</v>
      </c>
      <c r="F141" s="82">
        <f t="shared" ca="1" si="26"/>
        <v>205864665.87890387</v>
      </c>
    </row>
    <row r="142" spans="1:6" x14ac:dyDescent="0.15">
      <c r="A142" s="149" t="s">
        <v>104</v>
      </c>
      <c r="B142" s="98" t="s">
        <v>105</v>
      </c>
      <c r="C142" s="82">
        <f t="shared" ca="1" si="23"/>
        <v>0</v>
      </c>
      <c r="D142" s="82">
        <f t="shared" ca="1" si="24"/>
        <v>0</v>
      </c>
      <c r="E142" s="82">
        <f t="shared" ca="1" si="25"/>
        <v>21744248.532498948</v>
      </c>
      <c r="F142" s="82">
        <f t="shared" ca="1" si="26"/>
        <v>21744248.532498948</v>
      </c>
    </row>
    <row r="143" spans="1:6" x14ac:dyDescent="0.15">
      <c r="A143" s="149" t="s">
        <v>106</v>
      </c>
      <c r="B143" s="98" t="s">
        <v>107</v>
      </c>
      <c r="C143" s="82">
        <f t="shared" ca="1" si="23"/>
        <v>0</v>
      </c>
      <c r="D143" s="82">
        <f t="shared" ca="1" si="24"/>
        <v>0</v>
      </c>
      <c r="E143" s="82">
        <f t="shared" ca="1" si="25"/>
        <v>32855981.387326173</v>
      </c>
      <c r="F143" s="82">
        <f t="shared" ca="1" si="26"/>
        <v>32855981.387326173</v>
      </c>
    </row>
    <row r="144" spans="1:6" x14ac:dyDescent="0.15">
      <c r="A144" s="149" t="s">
        <v>15</v>
      </c>
      <c r="B144" s="98" t="s">
        <v>108</v>
      </c>
      <c r="C144" s="82">
        <f t="shared" ca="1" si="23"/>
        <v>1576558.07</v>
      </c>
      <c r="D144" s="82">
        <f t="shared" ca="1" si="24"/>
        <v>0</v>
      </c>
      <c r="E144" s="82">
        <f t="shared" ca="1" si="25"/>
        <v>63038010.884435505</v>
      </c>
      <c r="F144" s="82">
        <f t="shared" ca="1" si="26"/>
        <v>64614568.954435505</v>
      </c>
    </row>
    <row r="145" spans="1:6" x14ac:dyDescent="0.15">
      <c r="A145" s="149" t="s">
        <v>16</v>
      </c>
      <c r="B145" s="98" t="s">
        <v>109</v>
      </c>
      <c r="C145" s="82">
        <f t="shared" ca="1" si="23"/>
        <v>41927333.640000001</v>
      </c>
      <c r="D145" s="82">
        <f t="shared" ca="1" si="24"/>
        <v>0</v>
      </c>
      <c r="E145" s="82">
        <f t="shared" ca="1" si="25"/>
        <v>46879915.499460891</v>
      </c>
      <c r="F145" s="82">
        <f t="shared" ca="1" si="26"/>
        <v>88807249.139460891</v>
      </c>
    </row>
    <row r="146" spans="1:6" x14ac:dyDescent="0.15">
      <c r="A146" s="149" t="s">
        <v>17</v>
      </c>
      <c r="B146" s="98" t="s">
        <v>110</v>
      </c>
      <c r="C146" s="82">
        <f t="shared" ca="1" si="23"/>
        <v>59858507.250000007</v>
      </c>
      <c r="D146" s="82">
        <f t="shared" ca="1" si="24"/>
        <v>0</v>
      </c>
      <c r="E146" s="82">
        <f t="shared" ca="1" si="25"/>
        <v>70493590.205955744</v>
      </c>
      <c r="F146" s="82">
        <f t="shared" ca="1" si="26"/>
        <v>130352097.45595574</v>
      </c>
    </row>
    <row r="147" spans="1:6" x14ac:dyDescent="0.15">
      <c r="A147" s="149" t="s">
        <v>111</v>
      </c>
      <c r="B147" s="98" t="s">
        <v>112</v>
      </c>
      <c r="C147" s="82">
        <f t="shared" ca="1" si="23"/>
        <v>0</v>
      </c>
      <c r="D147" s="82">
        <f t="shared" ca="1" si="24"/>
        <v>0</v>
      </c>
      <c r="E147" s="82">
        <f t="shared" ca="1" si="25"/>
        <v>46101884.169846058</v>
      </c>
      <c r="F147" s="82">
        <f t="shared" ca="1" si="26"/>
        <v>46101884.169846058</v>
      </c>
    </row>
    <row r="148" spans="1:6" x14ac:dyDescent="0.15">
      <c r="A148" s="149" t="s">
        <v>18</v>
      </c>
      <c r="B148" s="98" t="s">
        <v>113</v>
      </c>
      <c r="C148" s="82">
        <f t="shared" ca="1" si="23"/>
        <v>2625683.8800000004</v>
      </c>
      <c r="D148" s="82">
        <f t="shared" ca="1" si="24"/>
        <v>0</v>
      </c>
      <c r="E148" s="82">
        <f t="shared" ca="1" si="25"/>
        <v>95169712.320844248</v>
      </c>
      <c r="F148" s="82">
        <f t="shared" ca="1" si="26"/>
        <v>97795396.200844243</v>
      </c>
    </row>
    <row r="149" spans="1:6" x14ac:dyDescent="0.15">
      <c r="A149" s="149" t="s">
        <v>19</v>
      </c>
      <c r="B149" s="98" t="s">
        <v>114</v>
      </c>
      <c r="C149" s="82">
        <f t="shared" ca="1" si="23"/>
        <v>4354475022.7099991</v>
      </c>
      <c r="D149" s="82">
        <f t="shared" ca="1" si="24"/>
        <v>2277949380.5999999</v>
      </c>
      <c r="E149" s="82">
        <f t="shared" ca="1" si="25"/>
        <v>50028348.076593667</v>
      </c>
      <c r="F149" s="82">
        <f t="shared" ca="1" si="26"/>
        <v>6682452751.3865929</v>
      </c>
    </row>
    <row r="150" spans="1:6" x14ac:dyDescent="0.15">
      <c r="A150" s="149" t="s">
        <v>24</v>
      </c>
      <c r="B150" s="98" t="s">
        <v>115</v>
      </c>
      <c r="C150" s="82">
        <f t="shared" ca="1" si="23"/>
        <v>248777321.92000002</v>
      </c>
      <c r="D150" s="82">
        <f t="shared" ca="1" si="24"/>
        <v>0</v>
      </c>
      <c r="E150" s="82">
        <f t="shared" ca="1" si="25"/>
        <v>36899264.859943703</v>
      </c>
      <c r="F150" s="82">
        <f t="shared" ca="1" si="26"/>
        <v>285676586.7799437</v>
      </c>
    </row>
    <row r="151" spans="1:6" x14ac:dyDescent="0.15">
      <c r="A151" s="149" t="s">
        <v>116</v>
      </c>
      <c r="B151" s="98" t="s">
        <v>117</v>
      </c>
      <c r="C151" s="82">
        <f t="shared" ca="1" si="23"/>
        <v>0</v>
      </c>
      <c r="D151" s="82">
        <f t="shared" ca="1" si="24"/>
        <v>0</v>
      </c>
      <c r="E151" s="82">
        <f t="shared" ca="1" si="25"/>
        <v>16972599.658997905</v>
      </c>
      <c r="F151" s="82">
        <f t="shared" ca="1" si="26"/>
        <v>16972599.658997905</v>
      </c>
    </row>
    <row r="152" spans="1:6" x14ac:dyDescent="0.15">
      <c r="A152" s="149" t="s">
        <v>118</v>
      </c>
      <c r="B152" s="98" t="s">
        <v>119</v>
      </c>
      <c r="C152" s="82">
        <f t="shared" ca="1" si="23"/>
        <v>0</v>
      </c>
      <c r="D152" s="82">
        <f t="shared" ca="1" si="24"/>
        <v>0</v>
      </c>
      <c r="E152" s="82">
        <f t="shared" ca="1" si="25"/>
        <v>9243470.0572692268</v>
      </c>
      <c r="F152" s="82">
        <f t="shared" ca="1" si="26"/>
        <v>9243470.0572692268</v>
      </c>
    </row>
    <row r="153" spans="1:6" x14ac:dyDescent="0.15">
      <c r="A153" s="149" t="s">
        <v>20</v>
      </c>
      <c r="B153" s="98" t="s">
        <v>120</v>
      </c>
      <c r="C153" s="82">
        <f t="shared" ca="1" si="23"/>
        <v>87428497.090000018</v>
      </c>
      <c r="D153" s="82">
        <f t="shared" ca="1" si="24"/>
        <v>0</v>
      </c>
      <c r="E153" s="82">
        <f t="shared" ca="1" si="25"/>
        <v>108273378.23637018</v>
      </c>
      <c r="F153" s="82">
        <f t="shared" ca="1" si="26"/>
        <v>195701875.32637018</v>
      </c>
    </row>
    <row r="154" spans="1:6" x14ac:dyDescent="0.15">
      <c r="A154" s="149" t="s">
        <v>21</v>
      </c>
      <c r="B154" s="98" t="s">
        <v>121</v>
      </c>
      <c r="C154" s="82">
        <f t="shared" ca="1" si="23"/>
        <v>68204759.170000017</v>
      </c>
      <c r="D154" s="82">
        <f t="shared" ca="1" si="24"/>
        <v>0</v>
      </c>
      <c r="E154" s="82">
        <f t="shared" ca="1" si="25"/>
        <v>67437251.124602139</v>
      </c>
      <c r="F154" s="82">
        <f t="shared" ca="1" si="26"/>
        <v>135642010.29460216</v>
      </c>
    </row>
    <row r="155" spans="1:6" x14ac:dyDescent="0.15">
      <c r="A155" s="149" t="s">
        <v>25</v>
      </c>
      <c r="B155" s="98" t="s">
        <v>122</v>
      </c>
      <c r="C155" s="82">
        <f t="shared" ca="1" si="23"/>
        <v>212892018.91000003</v>
      </c>
      <c r="D155" s="82">
        <f t="shared" ca="1" si="24"/>
        <v>0</v>
      </c>
      <c r="E155" s="82">
        <f t="shared" ca="1" si="25"/>
        <v>22938263.547460493</v>
      </c>
      <c r="F155" s="82">
        <f t="shared" ca="1" si="26"/>
        <v>235830282.45746052</v>
      </c>
    </row>
    <row r="156" spans="1:6" x14ac:dyDescent="0.15">
      <c r="A156" s="149" t="s">
        <v>22</v>
      </c>
      <c r="B156" s="98" t="s">
        <v>123</v>
      </c>
      <c r="C156" s="82">
        <f t="shared" ca="1" si="23"/>
        <v>1136900428.3600001</v>
      </c>
      <c r="D156" s="82">
        <f t="shared" ca="1" si="24"/>
        <v>395198424.74000001</v>
      </c>
      <c r="E156" s="82">
        <f t="shared" ca="1" si="25"/>
        <v>206627622.34200913</v>
      </c>
      <c r="F156" s="82">
        <f t="shared" ca="1" si="26"/>
        <v>1738726475.4420092</v>
      </c>
    </row>
    <row r="157" spans="1:6" x14ac:dyDescent="0.15">
      <c r="A157" s="149" t="s">
        <v>124</v>
      </c>
      <c r="B157" s="98" t="s">
        <v>125</v>
      </c>
      <c r="C157" s="82">
        <f t="shared" ca="1" si="23"/>
        <v>0</v>
      </c>
      <c r="D157" s="82">
        <f t="shared" ca="1" si="24"/>
        <v>0</v>
      </c>
      <c r="E157" s="82">
        <f t="shared" ca="1" si="25"/>
        <v>26029678.401507709</v>
      </c>
      <c r="F157" s="82">
        <f t="shared" ca="1" si="26"/>
        <v>26029678.401507709</v>
      </c>
    </row>
    <row r="158" spans="1:6" x14ac:dyDescent="0.15">
      <c r="A158" s="324" t="s">
        <v>28</v>
      </c>
      <c r="B158" s="324"/>
      <c r="C158" s="112">
        <f ca="1">SUM(C131:C157)</f>
        <v>7881316439.0900002</v>
      </c>
      <c r="D158" s="112">
        <f t="shared" ref="D158" ca="1" si="27">SUM(D131:D157)</f>
        <v>3135368860.4539995</v>
      </c>
      <c r="E158" s="112">
        <f t="shared" ref="E158" ca="1" si="28">SUM(E131:E157)</f>
        <v>1555342226.7111039</v>
      </c>
      <c r="F158" s="112">
        <f t="shared" ref="F158" ca="1" si="29">SUM(F131:F157)</f>
        <v>12572027526.255104</v>
      </c>
    </row>
    <row r="159" spans="1:6" x14ac:dyDescent="0.15">
      <c r="C159" s="113"/>
      <c r="D159" s="113"/>
      <c r="E159" s="113"/>
    </row>
    <row r="160" spans="1:6" ht="15" customHeight="1" x14ac:dyDescent="0.15">
      <c r="A160" s="347" t="s">
        <v>227</v>
      </c>
      <c r="B160" s="348"/>
      <c r="C160" s="348"/>
      <c r="D160" s="348"/>
      <c r="E160" s="348"/>
      <c r="F160" s="349"/>
    </row>
    <row r="161" spans="1:6" x14ac:dyDescent="0.15">
      <c r="A161" s="291" t="s">
        <v>264</v>
      </c>
      <c r="B161" s="291"/>
      <c r="C161" s="152" t="s">
        <v>29</v>
      </c>
      <c r="D161" s="152" t="s">
        <v>17</v>
      </c>
      <c r="E161" s="152" t="s">
        <v>229</v>
      </c>
      <c r="F161" s="153" t="s">
        <v>28</v>
      </c>
    </row>
    <row r="162" spans="1:6" x14ac:dyDescent="0.15">
      <c r="A162" s="149" t="s">
        <v>90</v>
      </c>
      <c r="B162" s="98" t="s">
        <v>91</v>
      </c>
      <c r="C162" s="82">
        <f ca="1">VLOOKUP(B69,$B$5:$N$31,5,FALSE)</f>
        <v>0</v>
      </c>
      <c r="D162" s="82">
        <f ca="1">VLOOKUP(B69,$B$5:$N$31,9,FALSE)</f>
        <v>0</v>
      </c>
      <c r="E162" s="82">
        <f ca="1">VLOOKUP(B69,$B$5:$N$31,13,FALSE)</f>
        <v>46841275.660821289</v>
      </c>
      <c r="F162" s="82">
        <f ca="1">SUM(C162:E162)</f>
        <v>46841275.660821289</v>
      </c>
    </row>
    <row r="163" spans="1:6" x14ac:dyDescent="0.15">
      <c r="A163" s="149" t="s">
        <v>4</v>
      </c>
      <c r="B163" s="98" t="s">
        <v>92</v>
      </c>
      <c r="C163" s="82">
        <f t="shared" ref="C163:C188" ca="1" si="30">VLOOKUP(B70,$B$5:$N$31,5,FALSE)</f>
        <v>47622990.137333333</v>
      </c>
      <c r="D163" s="82">
        <f t="shared" ref="D163:D188" ca="1" si="31">VLOOKUP(B70,$B$5:$N$31,9,FALSE)</f>
        <v>0</v>
      </c>
      <c r="E163" s="82">
        <f t="shared" ref="E163:E188" ca="1" si="32">VLOOKUP(B70,$B$5:$N$31,13,FALSE)</f>
        <v>151087783.37722504</v>
      </c>
      <c r="F163" s="82">
        <f t="shared" ref="F163:F187" ca="1" si="33">SUM(C163:E163)</f>
        <v>198710773.51455837</v>
      </c>
    </row>
    <row r="164" spans="1:6" x14ac:dyDescent="0.15">
      <c r="A164" s="149" t="s">
        <v>8</v>
      </c>
      <c r="B164" s="98" t="s">
        <v>93</v>
      </c>
      <c r="C164" s="82">
        <f t="shared" ca="1" si="30"/>
        <v>89883905.411000013</v>
      </c>
      <c r="D164" s="82">
        <f t="shared" ca="1" si="31"/>
        <v>5566415.6599999992</v>
      </c>
      <c r="E164" s="82">
        <f t="shared" ca="1" si="32"/>
        <v>128196582.30655411</v>
      </c>
      <c r="F164" s="82">
        <f t="shared" ca="1" si="33"/>
        <v>223646903.37755412</v>
      </c>
    </row>
    <row r="165" spans="1:6" x14ac:dyDescent="0.15">
      <c r="A165" s="149" t="s">
        <v>9</v>
      </c>
      <c r="B165" s="98" t="s">
        <v>94</v>
      </c>
      <c r="C165" s="82">
        <f t="shared" ca="1" si="30"/>
        <v>235387.34999999998</v>
      </c>
      <c r="D165" s="82">
        <f t="shared" ca="1" si="31"/>
        <v>0</v>
      </c>
      <c r="E165" s="82">
        <f t="shared" ca="1" si="32"/>
        <v>36429241.045597397</v>
      </c>
      <c r="F165" s="82">
        <f t="shared" ca="1" si="33"/>
        <v>36664628.395597398</v>
      </c>
    </row>
    <row r="166" spans="1:6" x14ac:dyDescent="0.15">
      <c r="A166" s="149" t="s">
        <v>10</v>
      </c>
      <c r="B166" s="98" t="s">
        <v>95</v>
      </c>
      <c r="C166" s="82">
        <f t="shared" ca="1" si="30"/>
        <v>171178456.62322223</v>
      </c>
      <c r="D166" s="82">
        <f t="shared" ca="1" si="31"/>
        <v>872947.06499999983</v>
      </c>
      <c r="E166" s="82">
        <f t="shared" ca="1" si="32"/>
        <v>614323682.16454303</v>
      </c>
      <c r="F166" s="82">
        <f t="shared" ca="1" si="33"/>
        <v>786375085.85276532</v>
      </c>
    </row>
    <row r="167" spans="1:6" x14ac:dyDescent="0.15">
      <c r="A167" s="149" t="s">
        <v>11</v>
      </c>
      <c r="B167" s="98" t="s">
        <v>96</v>
      </c>
      <c r="C167" s="82">
        <f t="shared" ca="1" si="30"/>
        <v>39267833.888222225</v>
      </c>
      <c r="D167" s="82">
        <f t="shared" ca="1" si="31"/>
        <v>0</v>
      </c>
      <c r="E167" s="82">
        <f t="shared" ca="1" si="32"/>
        <v>336337956.56760848</v>
      </c>
      <c r="F167" s="82">
        <f t="shared" ca="1" si="33"/>
        <v>375605790.45583069</v>
      </c>
    </row>
    <row r="168" spans="1:6" x14ac:dyDescent="0.15">
      <c r="A168" s="149" t="s">
        <v>97</v>
      </c>
      <c r="B168" s="98" t="s">
        <v>98</v>
      </c>
      <c r="C168" s="82">
        <f t="shared" ca="1" si="30"/>
        <v>0</v>
      </c>
      <c r="D168" s="82">
        <f t="shared" ca="1" si="31"/>
        <v>0</v>
      </c>
      <c r="E168" s="82">
        <f t="shared" ca="1" si="32"/>
        <v>12509931.830386344</v>
      </c>
      <c r="F168" s="82">
        <f t="shared" ca="1" si="33"/>
        <v>12509931.830386344</v>
      </c>
    </row>
    <row r="169" spans="1:6" x14ac:dyDescent="0.15">
      <c r="A169" s="149" t="s">
        <v>12</v>
      </c>
      <c r="B169" s="98" t="s">
        <v>99</v>
      </c>
      <c r="C169" s="82">
        <f t="shared" ca="1" si="30"/>
        <v>561856864.20688891</v>
      </c>
      <c r="D169" s="82">
        <f t="shared" ca="1" si="31"/>
        <v>224671164.83199996</v>
      </c>
      <c r="E169" s="82">
        <f t="shared" ca="1" si="32"/>
        <v>129122441.49840832</v>
      </c>
      <c r="F169" s="82">
        <f t="shared" ca="1" si="33"/>
        <v>915650470.53729725</v>
      </c>
    </row>
    <row r="170" spans="1:6" x14ac:dyDescent="0.15">
      <c r="A170" s="149" t="s">
        <v>100</v>
      </c>
      <c r="B170" s="98" t="s">
        <v>101</v>
      </c>
      <c r="C170" s="82">
        <f t="shared" ca="1" si="30"/>
        <v>0</v>
      </c>
      <c r="D170" s="82">
        <f t="shared" ca="1" si="31"/>
        <v>0</v>
      </c>
      <c r="E170" s="82">
        <f t="shared" ca="1" si="32"/>
        <v>274246861.82387429</v>
      </c>
      <c r="F170" s="82">
        <f t="shared" ca="1" si="33"/>
        <v>274246861.82387429</v>
      </c>
    </row>
    <row r="171" spans="1:6" x14ac:dyDescent="0.15">
      <c r="A171" s="149" t="s">
        <v>13</v>
      </c>
      <c r="B171" s="98" t="s">
        <v>102</v>
      </c>
      <c r="C171" s="82">
        <f t="shared" ca="1" si="30"/>
        <v>34868037.780000001</v>
      </c>
      <c r="D171" s="82">
        <f t="shared" ca="1" si="31"/>
        <v>0</v>
      </c>
      <c r="E171" s="82">
        <f t="shared" ca="1" si="32"/>
        <v>330328188.86747438</v>
      </c>
      <c r="F171" s="82">
        <f t="shared" ca="1" si="33"/>
        <v>365196226.64747441</v>
      </c>
    </row>
    <row r="172" spans="1:6" x14ac:dyDescent="0.15">
      <c r="A172" s="149" t="s">
        <v>14</v>
      </c>
      <c r="B172" s="98" t="s">
        <v>103</v>
      </c>
      <c r="C172" s="82">
        <f t="shared" ca="1" si="30"/>
        <v>4169844.6649999991</v>
      </c>
      <c r="D172" s="82">
        <f t="shared" ca="1" si="31"/>
        <v>0</v>
      </c>
      <c r="E172" s="82">
        <f t="shared" ca="1" si="32"/>
        <v>902339601.39809752</v>
      </c>
      <c r="F172" s="82">
        <f t="shared" ca="1" si="33"/>
        <v>906509446.06309748</v>
      </c>
    </row>
    <row r="173" spans="1:6" x14ac:dyDescent="0.15">
      <c r="A173" s="149" t="s">
        <v>104</v>
      </c>
      <c r="B173" s="98" t="s">
        <v>105</v>
      </c>
      <c r="C173" s="82">
        <f t="shared" ca="1" si="30"/>
        <v>0</v>
      </c>
      <c r="D173" s="82">
        <f t="shared" ca="1" si="31"/>
        <v>0</v>
      </c>
      <c r="E173" s="82">
        <f t="shared" ca="1" si="32"/>
        <v>101481891.84033163</v>
      </c>
      <c r="F173" s="82">
        <f t="shared" ca="1" si="33"/>
        <v>101481891.84033163</v>
      </c>
    </row>
    <row r="174" spans="1:6" x14ac:dyDescent="0.15">
      <c r="A174" s="149" t="s">
        <v>106</v>
      </c>
      <c r="B174" s="98" t="s">
        <v>107</v>
      </c>
      <c r="C174" s="82">
        <f t="shared" ca="1" si="30"/>
        <v>0</v>
      </c>
      <c r="D174" s="82">
        <f t="shared" ca="1" si="31"/>
        <v>0</v>
      </c>
      <c r="E174" s="82">
        <f t="shared" ca="1" si="32"/>
        <v>153341107.39551008</v>
      </c>
      <c r="F174" s="82">
        <f t="shared" ca="1" si="33"/>
        <v>153341107.39551008</v>
      </c>
    </row>
    <row r="175" spans="1:6" x14ac:dyDescent="0.15">
      <c r="A175" s="149" t="s">
        <v>15</v>
      </c>
      <c r="B175" s="98" t="s">
        <v>108</v>
      </c>
      <c r="C175" s="82">
        <f t="shared" ca="1" si="30"/>
        <v>1333861.6500000001</v>
      </c>
      <c r="D175" s="82">
        <f t="shared" ca="1" si="31"/>
        <v>0</v>
      </c>
      <c r="E175" s="82">
        <f t="shared" ca="1" si="32"/>
        <v>294202698.83517253</v>
      </c>
      <c r="F175" s="82">
        <f t="shared" ca="1" si="33"/>
        <v>295536560.48517251</v>
      </c>
    </row>
    <row r="176" spans="1:6" x14ac:dyDescent="0.15">
      <c r="A176" s="149" t="s">
        <v>16</v>
      </c>
      <c r="B176" s="98" t="s">
        <v>109</v>
      </c>
      <c r="C176" s="82">
        <f t="shared" ca="1" si="30"/>
        <v>18273114.151000001</v>
      </c>
      <c r="D176" s="82">
        <f t="shared" ca="1" si="31"/>
        <v>0</v>
      </c>
      <c r="E176" s="82">
        <f t="shared" ca="1" si="32"/>
        <v>218791764.96210822</v>
      </c>
      <c r="F176" s="82">
        <f t="shared" ca="1" si="33"/>
        <v>237064879.11310822</v>
      </c>
    </row>
    <row r="177" spans="1:6" x14ac:dyDescent="0.15">
      <c r="A177" s="149" t="s">
        <v>17</v>
      </c>
      <c r="B177" s="98" t="s">
        <v>110</v>
      </c>
      <c r="C177" s="82">
        <f t="shared" ca="1" si="30"/>
        <v>23071440.870000001</v>
      </c>
      <c r="D177" s="82">
        <f t="shared" ca="1" si="31"/>
        <v>0</v>
      </c>
      <c r="E177" s="82">
        <f t="shared" ca="1" si="32"/>
        <v>328998396.33571881</v>
      </c>
      <c r="F177" s="82">
        <f t="shared" ca="1" si="33"/>
        <v>352069837.20571882</v>
      </c>
    </row>
    <row r="178" spans="1:6" x14ac:dyDescent="0.15">
      <c r="A178" s="149" t="s">
        <v>111</v>
      </c>
      <c r="B178" s="98" t="s">
        <v>112</v>
      </c>
      <c r="C178" s="82">
        <f t="shared" ca="1" si="30"/>
        <v>0</v>
      </c>
      <c r="D178" s="82">
        <f t="shared" ca="1" si="31"/>
        <v>0</v>
      </c>
      <c r="E178" s="82">
        <f t="shared" ca="1" si="32"/>
        <v>215160639.64994329</v>
      </c>
      <c r="F178" s="82">
        <f t="shared" ca="1" si="33"/>
        <v>215160639.64994329</v>
      </c>
    </row>
    <row r="179" spans="1:6" x14ac:dyDescent="0.15">
      <c r="A179" s="149" t="s">
        <v>18</v>
      </c>
      <c r="B179" s="98" t="s">
        <v>113</v>
      </c>
      <c r="C179" s="82">
        <f t="shared" ca="1" si="30"/>
        <v>2308216.0440000002</v>
      </c>
      <c r="D179" s="82">
        <f t="shared" ca="1" si="31"/>
        <v>0</v>
      </c>
      <c r="E179" s="82">
        <f t="shared" ca="1" si="32"/>
        <v>444163542.27116865</v>
      </c>
      <c r="F179" s="82">
        <f t="shared" ca="1" si="33"/>
        <v>446471758.31516868</v>
      </c>
    </row>
    <row r="180" spans="1:6" x14ac:dyDescent="0.15">
      <c r="A180" s="149" t="s">
        <v>19</v>
      </c>
      <c r="B180" s="98" t="s">
        <v>114</v>
      </c>
      <c r="C180" s="82">
        <f t="shared" ca="1" si="30"/>
        <v>2771875795.5538888</v>
      </c>
      <c r="D180" s="82">
        <f t="shared" ca="1" si="31"/>
        <v>1138974690.3</v>
      </c>
      <c r="E180" s="82">
        <f t="shared" ca="1" si="32"/>
        <v>233485714.66479063</v>
      </c>
      <c r="F180" s="82">
        <f t="shared" ca="1" si="33"/>
        <v>4144336200.5186791</v>
      </c>
    </row>
    <row r="181" spans="1:6" x14ac:dyDescent="0.15">
      <c r="A181" s="149" t="s">
        <v>24</v>
      </c>
      <c r="B181" s="98" t="s">
        <v>115</v>
      </c>
      <c r="C181" s="82">
        <f t="shared" ca="1" si="30"/>
        <v>132938276.43333334</v>
      </c>
      <c r="D181" s="82">
        <f t="shared" ca="1" si="31"/>
        <v>0</v>
      </c>
      <c r="E181" s="82">
        <f t="shared" ca="1" si="32"/>
        <v>172211387.29663929</v>
      </c>
      <c r="F181" s="82">
        <f t="shared" ca="1" si="33"/>
        <v>305149663.7299726</v>
      </c>
    </row>
    <row r="182" spans="1:6" x14ac:dyDescent="0.15">
      <c r="A182" s="149" t="s">
        <v>116</v>
      </c>
      <c r="B182" s="98" t="s">
        <v>117</v>
      </c>
      <c r="C182" s="82">
        <f t="shared" ca="1" si="30"/>
        <v>0</v>
      </c>
      <c r="D182" s="82">
        <f t="shared" ca="1" si="31"/>
        <v>0</v>
      </c>
      <c r="E182" s="82">
        <f t="shared" ca="1" si="32"/>
        <v>79212280.905884564</v>
      </c>
      <c r="F182" s="82">
        <f t="shared" ca="1" si="33"/>
        <v>79212280.905884564</v>
      </c>
    </row>
    <row r="183" spans="1:6" x14ac:dyDescent="0.15">
      <c r="A183" s="149" t="s">
        <v>118</v>
      </c>
      <c r="B183" s="98" t="s">
        <v>119</v>
      </c>
      <c r="C183" s="82">
        <f t="shared" ca="1" si="30"/>
        <v>0</v>
      </c>
      <c r="D183" s="82">
        <f t="shared" ca="1" si="31"/>
        <v>0</v>
      </c>
      <c r="E183" s="82">
        <f t="shared" ca="1" si="32"/>
        <v>43139905.579129949</v>
      </c>
      <c r="F183" s="82">
        <f t="shared" ca="1" si="33"/>
        <v>43139905.579129949</v>
      </c>
    </row>
    <row r="184" spans="1:6" x14ac:dyDescent="0.15">
      <c r="A184" s="149" t="s">
        <v>20</v>
      </c>
      <c r="B184" s="98" t="s">
        <v>120</v>
      </c>
      <c r="C184" s="82">
        <f t="shared" ca="1" si="30"/>
        <v>32967692.329999998</v>
      </c>
      <c r="D184" s="82">
        <f t="shared" ca="1" si="31"/>
        <v>0</v>
      </c>
      <c r="E184" s="82">
        <f t="shared" ca="1" si="32"/>
        <v>505319245.36036688</v>
      </c>
      <c r="F184" s="82">
        <f t="shared" ca="1" si="33"/>
        <v>538286937.69036686</v>
      </c>
    </row>
    <row r="185" spans="1:6" x14ac:dyDescent="0.15">
      <c r="A185" s="149" t="s">
        <v>21</v>
      </c>
      <c r="B185" s="98" t="s">
        <v>121</v>
      </c>
      <c r="C185" s="82">
        <f t="shared" ca="1" si="30"/>
        <v>26197312.191999998</v>
      </c>
      <c r="D185" s="82">
        <f t="shared" ca="1" si="31"/>
        <v>0</v>
      </c>
      <c r="E185" s="82">
        <f t="shared" ca="1" si="32"/>
        <v>314734253.26277083</v>
      </c>
      <c r="F185" s="82">
        <f t="shared" ca="1" si="33"/>
        <v>340931565.4547708</v>
      </c>
    </row>
    <row r="186" spans="1:6" x14ac:dyDescent="0.15">
      <c r="A186" s="149" t="s">
        <v>25</v>
      </c>
      <c r="B186" s="98" t="s">
        <v>122</v>
      </c>
      <c r="C186" s="82">
        <f t="shared" ca="1" si="30"/>
        <v>94794559.341666684</v>
      </c>
      <c r="D186" s="82">
        <f t="shared" ca="1" si="31"/>
        <v>0</v>
      </c>
      <c r="E186" s="82">
        <f t="shared" ca="1" si="32"/>
        <v>107054441.40087208</v>
      </c>
      <c r="F186" s="82">
        <f t="shared" ca="1" si="33"/>
        <v>201849000.74253875</v>
      </c>
    </row>
    <row r="187" spans="1:6" x14ac:dyDescent="0.15">
      <c r="A187" s="149" t="s">
        <v>22</v>
      </c>
      <c r="B187" s="98" t="s">
        <v>123</v>
      </c>
      <c r="C187" s="82">
        <f t="shared" ca="1" si="30"/>
        <v>639044997.27700007</v>
      </c>
      <c r="D187" s="82">
        <f t="shared" ca="1" si="31"/>
        <v>197599212.37</v>
      </c>
      <c r="E187" s="82">
        <f t="shared" ca="1" si="32"/>
        <v>964345214.79997158</v>
      </c>
      <c r="F187" s="82">
        <f t="shared" ca="1" si="33"/>
        <v>1800989424.4469717</v>
      </c>
    </row>
    <row r="188" spans="1:6" x14ac:dyDescent="0.15">
      <c r="A188" s="149" t="s">
        <v>124</v>
      </c>
      <c r="B188" s="98" t="s">
        <v>125</v>
      </c>
      <c r="C188" s="82">
        <f t="shared" ca="1" si="30"/>
        <v>0</v>
      </c>
      <c r="D188" s="82">
        <f t="shared" ca="1" si="31"/>
        <v>0</v>
      </c>
      <c r="E188" s="82">
        <f t="shared" ca="1" si="32"/>
        <v>121482285.49873202</v>
      </c>
      <c r="F188" s="82">
        <f ca="1">SUM(C188:E188)</f>
        <v>121482285.49873202</v>
      </c>
    </row>
    <row r="189" spans="1:6" x14ac:dyDescent="0.15">
      <c r="A189" s="324" t="s">
        <v>28</v>
      </c>
      <c r="B189" s="324"/>
      <c r="C189" s="112">
        <f ca="1">SUM(C162:C188)</f>
        <v>4691888585.9045553</v>
      </c>
      <c r="D189" s="112">
        <f t="shared" ref="D189" ca="1" si="34">SUM(D162:D188)</f>
        <v>1567684430.2269998</v>
      </c>
      <c r="E189" s="112">
        <f t="shared" ref="E189" ca="1" si="35">SUM(E162:E188)</f>
        <v>7258888316.5997019</v>
      </c>
      <c r="F189" s="112">
        <f t="shared" ref="F189" ca="1" si="36">SUM(F162:F188)</f>
        <v>13518461332.731256</v>
      </c>
    </row>
  </sheetData>
  <mergeCells count="32">
    <mergeCell ref="P2:Q3"/>
    <mergeCell ref="P31:Q31"/>
    <mergeCell ref="M3:N3"/>
    <mergeCell ref="A96:B96"/>
    <mergeCell ref="A64:B64"/>
    <mergeCell ref="A127:B127"/>
    <mergeCell ref="A158:B158"/>
    <mergeCell ref="A189:B189"/>
    <mergeCell ref="A67:F67"/>
    <mergeCell ref="A68:B68"/>
    <mergeCell ref="A98:F98"/>
    <mergeCell ref="A99:B99"/>
    <mergeCell ref="A129:F129"/>
    <mergeCell ref="A130:B130"/>
    <mergeCell ref="A160:F160"/>
    <mergeCell ref="A161:B161"/>
    <mergeCell ref="V2:X2"/>
    <mergeCell ref="R2:R3"/>
    <mergeCell ref="K2:N2"/>
    <mergeCell ref="H41:I41"/>
    <mergeCell ref="A35:B36"/>
    <mergeCell ref="A2:B4"/>
    <mergeCell ref="C35:D35"/>
    <mergeCell ref="E35:F35"/>
    <mergeCell ref="C3:D3"/>
    <mergeCell ref="E3:F3"/>
    <mergeCell ref="C2:F2"/>
    <mergeCell ref="G3:H3"/>
    <mergeCell ref="I3:J3"/>
    <mergeCell ref="G2:J2"/>
    <mergeCell ref="K3:L3"/>
    <mergeCell ref="S2:U2"/>
  </mergeCells>
  <pageMargins left="0.51181102362204722" right="0.51181102362204722" top="0.78740157480314965" bottom="0.78740157480314965" header="0.31496062992125984" footer="0.31496062992125984"/>
  <pageSetup paperSize="9" scale="90" orientation="landscape" horizontalDpi="4294967294" verticalDpi="4294967294" r:id="rId1"/>
  <ignoredErrors>
    <ignoredError sqref="D32 U2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58"/>
  <sheetViews>
    <sheetView topLeftCell="M40" workbookViewId="0">
      <selection activeCell="A47" sqref="A47"/>
    </sheetView>
  </sheetViews>
  <sheetFormatPr defaultRowHeight="10.5" x14ac:dyDescent="0.15"/>
  <cols>
    <col min="1" max="1" width="26.5703125" style="88" bestFit="1" customWidth="1"/>
    <col min="2" max="2" width="6.85546875" style="88" bestFit="1" customWidth="1"/>
    <col min="3" max="4" width="23.140625" style="88" bestFit="1" customWidth="1"/>
    <col min="5" max="5" width="29" style="88" bestFit="1" customWidth="1"/>
    <col min="6" max="7" width="9.140625" style="88"/>
    <col min="8" max="8" width="3.5703125" style="88" bestFit="1" customWidth="1"/>
    <col min="9" max="9" width="18" style="88" bestFit="1" customWidth="1"/>
    <col min="10" max="10" width="12.28515625" style="88" bestFit="1" customWidth="1"/>
    <col min="11" max="11" width="18.140625" style="88" bestFit="1" customWidth="1"/>
    <col min="12" max="12" width="23.42578125" style="88" bestFit="1" customWidth="1"/>
    <col min="13" max="13" width="22" style="88" bestFit="1" customWidth="1"/>
    <col min="14" max="14" width="17" style="88" bestFit="1" customWidth="1"/>
    <col min="15" max="16" width="19.7109375" style="88" bestFit="1" customWidth="1"/>
    <col min="17" max="17" width="12.28515625" style="88" bestFit="1" customWidth="1"/>
    <col min="18" max="18" width="18.140625" style="88" bestFit="1" customWidth="1"/>
    <col min="19" max="19" width="16.85546875" style="88" bestFit="1" customWidth="1"/>
    <col min="20" max="20" width="9.140625" style="88"/>
    <col min="21" max="21" width="3.5703125" style="88" bestFit="1" customWidth="1"/>
    <col min="22" max="22" width="17" style="88" bestFit="1" customWidth="1"/>
    <col min="23" max="24" width="18.140625" style="88" bestFit="1" customWidth="1"/>
    <col min="25" max="25" width="3.42578125" style="88" bestFit="1" customWidth="1"/>
    <col min="26" max="26" width="18" style="88" bestFit="1" customWidth="1"/>
    <col min="27" max="28" width="22" style="88" bestFit="1" customWidth="1"/>
    <col min="29" max="16384" width="9.140625" style="88"/>
  </cols>
  <sheetData>
    <row r="1" spans="1:28" x14ac:dyDescent="0.15">
      <c r="A1" s="325" t="s">
        <v>230</v>
      </c>
      <c r="B1" s="325"/>
      <c r="C1" s="325"/>
      <c r="D1" s="325"/>
      <c r="H1" s="285" t="s">
        <v>163</v>
      </c>
      <c r="I1" s="285"/>
      <c r="J1" s="324" t="s">
        <v>76</v>
      </c>
      <c r="K1" s="324"/>
      <c r="L1" s="324"/>
      <c r="M1" s="324" t="s">
        <v>27</v>
      </c>
      <c r="N1" s="324"/>
      <c r="O1" s="324"/>
      <c r="P1" s="324"/>
      <c r="Q1" s="324"/>
      <c r="R1" s="324"/>
      <c r="S1" s="324"/>
    </row>
    <row r="2" spans="1:28" x14ac:dyDescent="0.15">
      <c r="A2" s="88" t="s">
        <v>231</v>
      </c>
      <c r="B2" s="88">
        <v>1999</v>
      </c>
      <c r="C2" s="122">
        <v>321.65663699999999</v>
      </c>
      <c r="D2" s="113">
        <f>C2*1000000</f>
        <v>321656637</v>
      </c>
      <c r="H2" s="285"/>
      <c r="I2" s="285"/>
      <c r="J2" s="151" t="s">
        <v>259</v>
      </c>
      <c r="K2" s="151" t="s">
        <v>203</v>
      </c>
      <c r="L2" s="151" t="s">
        <v>28</v>
      </c>
      <c r="M2" s="324" t="s">
        <v>260</v>
      </c>
      <c r="N2" s="324"/>
      <c r="O2" s="324" t="s">
        <v>261</v>
      </c>
      <c r="P2" s="324"/>
      <c r="Q2" s="324" t="s">
        <v>262</v>
      </c>
      <c r="R2" s="324"/>
      <c r="S2" s="151" t="s">
        <v>200</v>
      </c>
      <c r="U2" s="356" t="s">
        <v>163</v>
      </c>
      <c r="V2" s="356"/>
      <c r="W2" s="159" t="s">
        <v>204</v>
      </c>
      <c r="X2" s="159" t="s">
        <v>27</v>
      </c>
      <c r="Y2" s="356" t="s">
        <v>163</v>
      </c>
      <c r="Z2" s="356"/>
      <c r="AA2" s="159" t="s">
        <v>204</v>
      </c>
      <c r="AB2" s="159" t="s">
        <v>27</v>
      </c>
    </row>
    <row r="3" spans="1:28" x14ac:dyDescent="0.15">
      <c r="A3" s="88" t="s">
        <v>232</v>
      </c>
      <c r="B3" s="88">
        <v>2000</v>
      </c>
      <c r="C3" s="122">
        <v>468.25906900000001</v>
      </c>
      <c r="D3" s="113">
        <f t="shared" ref="D3:D16" si="0">C3*1000000</f>
        <v>468259069</v>
      </c>
      <c r="H3" s="149" t="s">
        <v>90</v>
      </c>
      <c r="I3" s="90" t="s">
        <v>91</v>
      </c>
      <c r="J3" s="91">
        <v>3.9530589999999997E-2</v>
      </c>
      <c r="K3" s="160">
        <v>5.6669999999999995E-4</v>
      </c>
      <c r="L3" s="111">
        <f>(2/3)*$D$40*J3+(1/3)*$D$40*K3</f>
        <v>33953636.61854177</v>
      </c>
      <c r="M3" s="133">
        <v>3.0967740000000001E-2</v>
      </c>
      <c r="N3" s="161">
        <f>$E$40*0.1*M3</f>
        <v>3961429.3041236852</v>
      </c>
      <c r="O3" s="133">
        <v>0</v>
      </c>
      <c r="P3" s="161">
        <f>$E$40*0.036*O3</f>
        <v>0</v>
      </c>
      <c r="Q3" s="133">
        <v>2.63E-3</v>
      </c>
      <c r="R3" s="111">
        <f>$E$40*0.864*Q3</f>
        <v>2906778.1621604711</v>
      </c>
      <c r="S3" s="93">
        <f>N3+P3+R3</f>
        <v>6868207.4662841558</v>
      </c>
      <c r="U3" s="356"/>
      <c r="V3" s="356"/>
      <c r="W3" s="159">
        <v>2021</v>
      </c>
      <c r="X3" s="159">
        <v>2021</v>
      </c>
      <c r="Y3" s="356"/>
      <c r="Z3" s="356"/>
      <c r="AA3" s="159">
        <v>2021</v>
      </c>
      <c r="AB3" s="159">
        <v>2021</v>
      </c>
    </row>
    <row r="4" spans="1:28" x14ac:dyDescent="0.15">
      <c r="A4" s="88" t="s">
        <v>233</v>
      </c>
      <c r="B4" s="88">
        <v>2001</v>
      </c>
      <c r="C4" s="122">
        <v>594.94402300000002</v>
      </c>
      <c r="D4" s="113">
        <f t="shared" si="0"/>
        <v>594944023</v>
      </c>
      <c r="H4" s="149" t="s">
        <v>4</v>
      </c>
      <c r="I4" s="90" t="s">
        <v>92</v>
      </c>
      <c r="J4" s="91">
        <v>4.9123090000000001E-2</v>
      </c>
      <c r="K4" s="160">
        <v>5.6182000000000003E-3</v>
      </c>
      <c r="L4" s="111">
        <f t="shared" ref="L4:L29" si="1">(2/3)*$D$40*J4+(1/3)*$D$40*K4</f>
        <v>44288174.143655941</v>
      </c>
      <c r="M4" s="133">
        <v>4.301075E-2</v>
      </c>
      <c r="N4" s="161">
        <f t="shared" ref="N4:N29" si="2">$E$40*0.1*M4</f>
        <v>5501985.1446162295</v>
      </c>
      <c r="O4" s="133">
        <v>1.028013E-2</v>
      </c>
      <c r="P4" s="161">
        <f t="shared" ref="P4:P29" si="3">$E$40*0.036*O4</f>
        <v>473416.62528787588</v>
      </c>
      <c r="Q4" s="133">
        <v>2.0882999999999999E-2</v>
      </c>
      <c r="R4" s="111">
        <f t="shared" ref="R4:R29" si="4">$E$40*0.864*Q4</f>
        <v>23080702.798630081</v>
      </c>
      <c r="S4" s="93">
        <f t="shared" ref="S4:S29" si="5">N4+P4+R4</f>
        <v>29056104.568534188</v>
      </c>
      <c r="U4" s="149" t="s">
        <v>90</v>
      </c>
      <c r="V4" s="98" t="s">
        <v>91</v>
      </c>
      <c r="W4" s="82">
        <f>L3</f>
        <v>33953636.61854177</v>
      </c>
      <c r="X4" s="111">
        <f>S3</f>
        <v>6868207.4662841558</v>
      </c>
      <c r="Y4" s="149" t="s">
        <v>16</v>
      </c>
      <c r="Z4" s="98" t="s">
        <v>109</v>
      </c>
      <c r="AA4" s="82">
        <f>L17</f>
        <v>38240641.484848559</v>
      </c>
      <c r="AB4" s="111">
        <f>S17</f>
        <v>40178543.925668977</v>
      </c>
    </row>
    <row r="5" spans="1:28" x14ac:dyDescent="0.15">
      <c r="A5" s="88" t="s">
        <v>234</v>
      </c>
      <c r="B5" s="88">
        <v>2002</v>
      </c>
      <c r="C5" s="122">
        <v>92.377971000000002</v>
      </c>
      <c r="D5" s="113">
        <f t="shared" si="0"/>
        <v>92377971</v>
      </c>
      <c r="H5" s="149" t="s">
        <v>8</v>
      </c>
      <c r="I5" s="90" t="s">
        <v>93</v>
      </c>
      <c r="J5" s="91">
        <v>4.7289829999999998E-2</v>
      </c>
      <c r="K5" s="160">
        <v>8.3671000000000006E-3</v>
      </c>
      <c r="L5" s="111">
        <f t="shared" si="1"/>
        <v>43896897.419549935</v>
      </c>
      <c r="M5" s="133">
        <v>5.4193560000000002E-2</v>
      </c>
      <c r="N5" s="161">
        <f t="shared" si="2"/>
        <v>6932503.2010338884</v>
      </c>
      <c r="O5" s="133">
        <v>0</v>
      </c>
      <c r="P5" s="161">
        <f t="shared" si="3"/>
        <v>0</v>
      </c>
      <c r="Q5" s="133">
        <v>1.2452000000000001E-2</v>
      </c>
      <c r="R5" s="111">
        <f t="shared" si="4"/>
        <v>13762434.097042659</v>
      </c>
      <c r="S5" s="93">
        <f t="shared" si="5"/>
        <v>20694937.298076548</v>
      </c>
      <c r="U5" s="149" t="s">
        <v>4</v>
      </c>
      <c r="V5" s="98" t="s">
        <v>92</v>
      </c>
      <c r="W5" s="82">
        <f t="shared" ref="W5:W17" si="6">L4</f>
        <v>44288174.143655941</v>
      </c>
      <c r="X5" s="111">
        <f t="shared" ref="X5:X17" si="7">S4</f>
        <v>29056104.568534188</v>
      </c>
      <c r="Y5" s="149" t="s">
        <v>17</v>
      </c>
      <c r="Z5" s="98" t="s">
        <v>110</v>
      </c>
      <c r="AA5" s="82">
        <f t="shared" ref="AA5:AA16" si="8">L18</f>
        <v>57100399.611157812</v>
      </c>
      <c r="AB5" s="111">
        <f t="shared" ref="AB5:AB16" si="9">S18</f>
        <v>61811771.489734642</v>
      </c>
    </row>
    <row r="6" spans="1:28" x14ac:dyDescent="0.15">
      <c r="A6" s="88" t="s">
        <v>235</v>
      </c>
      <c r="B6" s="88">
        <v>2003</v>
      </c>
      <c r="C6" s="122">
        <v>27.448492999999999</v>
      </c>
      <c r="D6" s="113">
        <f t="shared" si="0"/>
        <v>27448493</v>
      </c>
      <c r="H6" s="149" t="s">
        <v>9</v>
      </c>
      <c r="I6" s="90" t="s">
        <v>94</v>
      </c>
      <c r="J6" s="91">
        <v>3.987313E-2</v>
      </c>
      <c r="K6" s="160">
        <v>2.0324000000000002E-3</v>
      </c>
      <c r="L6" s="111">
        <f t="shared" si="1"/>
        <v>34870737.545584254</v>
      </c>
      <c r="M6" s="133">
        <v>2.752688E-2</v>
      </c>
      <c r="N6" s="161">
        <f t="shared" si="2"/>
        <v>3521270.4925543871</v>
      </c>
      <c r="O6" s="133">
        <v>0</v>
      </c>
      <c r="P6" s="161">
        <f t="shared" si="3"/>
        <v>0</v>
      </c>
      <c r="Q6" s="133">
        <v>1.392E-3</v>
      </c>
      <c r="R6" s="111">
        <f t="shared" si="4"/>
        <v>1538492.4721396868</v>
      </c>
      <c r="S6" s="93">
        <f t="shared" si="5"/>
        <v>5059762.9646940734</v>
      </c>
      <c r="U6" s="149" t="s">
        <v>8</v>
      </c>
      <c r="V6" s="98" t="s">
        <v>93</v>
      </c>
      <c r="W6" s="82">
        <f t="shared" si="6"/>
        <v>43896897.419549935</v>
      </c>
      <c r="X6" s="111">
        <f t="shared" si="7"/>
        <v>20694937.298076548</v>
      </c>
      <c r="Y6" s="149" t="s">
        <v>111</v>
      </c>
      <c r="Z6" s="98" t="s">
        <v>112</v>
      </c>
      <c r="AA6" s="82">
        <f t="shared" si="8"/>
        <v>39806891.143658549</v>
      </c>
      <c r="AB6" s="111">
        <f t="shared" si="9"/>
        <v>34011563.738514557</v>
      </c>
    </row>
    <row r="7" spans="1:28" x14ac:dyDescent="0.15">
      <c r="A7" s="88" t="s">
        <v>236</v>
      </c>
      <c r="B7" s="88">
        <v>2004</v>
      </c>
      <c r="C7" s="122">
        <v>665.19602799999996</v>
      </c>
      <c r="D7" s="113">
        <f t="shared" si="0"/>
        <v>665196028</v>
      </c>
      <c r="H7" s="149" t="s">
        <v>10</v>
      </c>
      <c r="I7" s="90" t="s">
        <v>95</v>
      </c>
      <c r="J7" s="91">
        <v>8.4141960000000002E-2</v>
      </c>
      <c r="K7" s="162">
        <v>3.8618399999999997E-2</v>
      </c>
      <c r="L7" s="111">
        <f t="shared" si="1"/>
        <v>88223951.068561018</v>
      </c>
      <c r="M7" s="133">
        <v>7.7419360000000007E-2</v>
      </c>
      <c r="N7" s="161">
        <f t="shared" si="2"/>
        <v>9903574.5395208392</v>
      </c>
      <c r="O7" s="133">
        <v>0.11102544</v>
      </c>
      <c r="P7" s="161">
        <f t="shared" si="3"/>
        <v>5112901.2109673265</v>
      </c>
      <c r="Q7" s="133">
        <v>9.2695000000000013E-2</v>
      </c>
      <c r="R7" s="111">
        <f t="shared" si="4"/>
        <v>102450114.73059502</v>
      </c>
      <c r="S7" s="93">
        <f t="shared" si="5"/>
        <v>117466590.48108318</v>
      </c>
      <c r="U7" s="149" t="s">
        <v>9</v>
      </c>
      <c r="V7" s="98" t="s">
        <v>94</v>
      </c>
      <c r="W7" s="82">
        <f t="shared" si="6"/>
        <v>34870737.545584254</v>
      </c>
      <c r="X7" s="111">
        <f t="shared" si="7"/>
        <v>5059762.9646940734</v>
      </c>
      <c r="Y7" s="149" t="s">
        <v>18</v>
      </c>
      <c r="Z7" s="98" t="s">
        <v>113</v>
      </c>
      <c r="AA7" s="82">
        <f t="shared" si="8"/>
        <v>59628752.862015575</v>
      </c>
      <c r="AB7" s="111">
        <f t="shared" si="9"/>
        <v>86616191.333608031</v>
      </c>
    </row>
    <row r="8" spans="1:28" x14ac:dyDescent="0.15">
      <c r="A8" s="88" t="s">
        <v>237</v>
      </c>
      <c r="B8" s="88">
        <v>2005</v>
      </c>
      <c r="C8" s="122">
        <v>1084.6958</v>
      </c>
      <c r="D8" s="113">
        <f t="shared" si="0"/>
        <v>1084695800</v>
      </c>
      <c r="H8" s="149" t="s">
        <v>11</v>
      </c>
      <c r="I8" s="90" t="s">
        <v>96</v>
      </c>
      <c r="J8" s="91">
        <v>6.247291E-2</v>
      </c>
      <c r="K8" s="162">
        <v>8.5763999999999996E-3</v>
      </c>
      <c r="L8" s="111">
        <f t="shared" si="1"/>
        <v>56934392.054403447</v>
      </c>
      <c r="M8" s="133">
        <v>8.6021520000000004E-2</v>
      </c>
      <c r="N8" s="161">
        <f t="shared" si="2"/>
        <v>11003972.847655712</v>
      </c>
      <c r="O8" s="133">
        <v>4.1120520000000001E-2</v>
      </c>
      <c r="P8" s="161">
        <f t="shared" si="3"/>
        <v>1893666.5011515035</v>
      </c>
      <c r="Q8" s="133">
        <v>4.5864000000000002E-2</v>
      </c>
      <c r="R8" s="111">
        <f t="shared" si="4"/>
        <v>50690674.383774854</v>
      </c>
      <c r="S8" s="93">
        <f t="shared" si="5"/>
        <v>63588313.73258207</v>
      </c>
      <c r="U8" s="149" t="s">
        <v>10</v>
      </c>
      <c r="V8" s="98" t="s">
        <v>95</v>
      </c>
      <c r="W8" s="82">
        <f t="shared" si="6"/>
        <v>88223951.068561018</v>
      </c>
      <c r="X8" s="111">
        <f t="shared" si="7"/>
        <v>117466590.48108318</v>
      </c>
      <c r="Y8" s="149" t="s">
        <v>19</v>
      </c>
      <c r="Z8" s="98" t="s">
        <v>114</v>
      </c>
      <c r="AA8" s="82">
        <f t="shared" si="8"/>
        <v>31635415.197460443</v>
      </c>
      <c r="AB8" s="111">
        <f t="shared" si="9"/>
        <v>38827986.727237031</v>
      </c>
    </row>
    <row r="9" spans="1:28" x14ac:dyDescent="0.15">
      <c r="A9" s="88" t="s">
        <v>238</v>
      </c>
      <c r="B9" s="88">
        <v>2007</v>
      </c>
      <c r="C9" s="122">
        <v>2101.9038310000001</v>
      </c>
      <c r="D9" s="113">
        <f t="shared" si="0"/>
        <v>2101903831</v>
      </c>
      <c r="H9" s="149" t="s">
        <v>97</v>
      </c>
      <c r="I9" s="90" t="s">
        <v>98</v>
      </c>
      <c r="J9" s="91">
        <v>6.5853500000000002E-3</v>
      </c>
      <c r="K9" s="162">
        <v>4.0486999999999997E-3</v>
      </c>
      <c r="L9" s="111">
        <f t="shared" si="1"/>
        <v>7342418.8913395433</v>
      </c>
      <c r="M9" s="133">
        <v>1.7204299999999999E-2</v>
      </c>
      <c r="N9" s="161">
        <f t="shared" si="2"/>
        <v>2200794.0578464917</v>
      </c>
      <c r="O9" s="133">
        <v>0</v>
      </c>
      <c r="P9" s="161">
        <f t="shared" si="3"/>
        <v>0</v>
      </c>
      <c r="Q9" s="133">
        <v>0</v>
      </c>
      <c r="R9" s="111">
        <f t="shared" si="4"/>
        <v>0</v>
      </c>
      <c r="S9" s="93">
        <f t="shared" si="5"/>
        <v>2200794.0578464917</v>
      </c>
      <c r="U9" s="149" t="s">
        <v>11</v>
      </c>
      <c r="V9" s="98" t="s">
        <v>96</v>
      </c>
      <c r="W9" s="82">
        <f t="shared" si="6"/>
        <v>56934392.054403447</v>
      </c>
      <c r="X9" s="111">
        <f t="shared" si="7"/>
        <v>63588313.73258207</v>
      </c>
      <c r="Y9" s="149" t="s">
        <v>24</v>
      </c>
      <c r="Z9" s="98" t="s">
        <v>115</v>
      </c>
      <c r="AA9" s="82">
        <f t="shared" si="8"/>
        <v>33841987.027818032</v>
      </c>
      <c r="AB9" s="111">
        <f t="shared" si="9"/>
        <v>31697409.169978682</v>
      </c>
    </row>
    <row r="10" spans="1:28" x14ac:dyDescent="0.15">
      <c r="A10" s="88" t="s">
        <v>239</v>
      </c>
      <c r="B10" s="88">
        <v>2008</v>
      </c>
      <c r="C10" s="122">
        <v>80.197226999999998</v>
      </c>
      <c r="D10" s="113">
        <f t="shared" si="0"/>
        <v>80197227</v>
      </c>
      <c r="H10" s="149" t="s">
        <v>12</v>
      </c>
      <c r="I10" s="90" t="s">
        <v>99</v>
      </c>
      <c r="J10" s="91">
        <v>1.902684E-2</v>
      </c>
      <c r="K10" s="160">
        <v>4.1594600000000002E-2</v>
      </c>
      <c r="L10" s="111">
        <f t="shared" si="1"/>
        <v>33962335.257599078</v>
      </c>
      <c r="M10" s="133">
        <v>2.0645159999999999E-2</v>
      </c>
      <c r="N10" s="161">
        <f t="shared" si="2"/>
        <v>2640952.8694157903</v>
      </c>
      <c r="O10" s="133">
        <v>3.08404E-2</v>
      </c>
      <c r="P10" s="161">
        <f t="shared" si="3"/>
        <v>1420250.336379813</v>
      </c>
      <c r="Q10" s="133">
        <v>1.7595E-2</v>
      </c>
      <c r="R10" s="111">
        <f t="shared" si="4"/>
        <v>19446677.47650703</v>
      </c>
      <c r="S10" s="93">
        <f t="shared" si="5"/>
        <v>23507880.682302635</v>
      </c>
      <c r="U10" s="149" t="s">
        <v>97</v>
      </c>
      <c r="V10" s="98" t="s">
        <v>98</v>
      </c>
      <c r="W10" s="82">
        <f t="shared" si="6"/>
        <v>7342418.8913395433</v>
      </c>
      <c r="X10" s="111">
        <f t="shared" si="7"/>
        <v>2200794.0578464917</v>
      </c>
      <c r="Y10" s="149" t="s">
        <v>116</v>
      </c>
      <c r="Z10" s="98" t="s">
        <v>117</v>
      </c>
      <c r="AA10" s="82">
        <f t="shared" si="8"/>
        <v>28865922.027010232</v>
      </c>
      <c r="AB10" s="111">
        <f t="shared" si="9"/>
        <v>11330614.419527203</v>
      </c>
    </row>
    <row r="11" spans="1:28" x14ac:dyDescent="0.15">
      <c r="A11" s="88" t="s">
        <v>240</v>
      </c>
      <c r="B11" s="88">
        <v>2013</v>
      </c>
      <c r="C11" s="122">
        <v>2480.1725512899998</v>
      </c>
      <c r="D11" s="113">
        <f t="shared" si="0"/>
        <v>2480172551.29</v>
      </c>
      <c r="H11" s="149" t="s">
        <v>100</v>
      </c>
      <c r="I11" s="90" t="s">
        <v>101</v>
      </c>
      <c r="J11" s="91">
        <v>3.4509379999999999E-2</v>
      </c>
      <c r="K11" s="162">
        <v>4.9844899999999998E-2</v>
      </c>
      <c r="L11" s="111">
        <f t="shared" si="1"/>
        <v>50683925.263235681</v>
      </c>
      <c r="M11" s="133">
        <v>3.6129029999999999E-2</v>
      </c>
      <c r="N11" s="161">
        <f t="shared" si="2"/>
        <v>4621667.5214776332</v>
      </c>
      <c r="O11" s="133">
        <v>3.7008480000000003E-2</v>
      </c>
      <c r="P11" s="161">
        <f t="shared" si="3"/>
        <v>1704300.4036557756</v>
      </c>
      <c r="Q11" s="133">
        <v>3.7317999999999997E-2</v>
      </c>
      <c r="R11" s="111">
        <f t="shared" si="4"/>
        <v>41245303.215020709</v>
      </c>
      <c r="S11" s="93">
        <f t="shared" si="5"/>
        <v>47571271.140154116</v>
      </c>
      <c r="U11" s="149" t="s">
        <v>12</v>
      </c>
      <c r="V11" s="98" t="s">
        <v>99</v>
      </c>
      <c r="W11" s="82">
        <f t="shared" si="6"/>
        <v>33962335.257599078</v>
      </c>
      <c r="X11" s="111">
        <f t="shared" si="7"/>
        <v>23507880.682302635</v>
      </c>
      <c r="Y11" s="149" t="s">
        <v>118</v>
      </c>
      <c r="Z11" s="98" t="s">
        <v>119</v>
      </c>
      <c r="AA11" s="82">
        <f t="shared" si="8"/>
        <v>29795644.508763306</v>
      </c>
      <c r="AB11" s="111">
        <f t="shared" si="9"/>
        <v>6442543.4016499026</v>
      </c>
    </row>
    <row r="12" spans="1:28" x14ac:dyDescent="0.15">
      <c r="A12" s="88" t="s">
        <v>241</v>
      </c>
      <c r="B12" s="88">
        <v>2013</v>
      </c>
      <c r="C12" s="122">
        <v>154.29099908000001</v>
      </c>
      <c r="D12" s="113">
        <f t="shared" si="0"/>
        <v>154290999.08000001</v>
      </c>
      <c r="H12" s="149" t="s">
        <v>13</v>
      </c>
      <c r="I12" s="90" t="s">
        <v>102</v>
      </c>
      <c r="J12" s="91">
        <v>6.8518739999999995E-2</v>
      </c>
      <c r="K12" s="160">
        <v>1.6931499999999999E-2</v>
      </c>
      <c r="L12" s="111">
        <f t="shared" si="1"/>
        <v>65652969.756918378</v>
      </c>
      <c r="M12" s="133">
        <v>5.3763440000000003E-2</v>
      </c>
      <c r="N12" s="161">
        <f t="shared" si="2"/>
        <v>6877481.7505731937</v>
      </c>
      <c r="O12" s="133">
        <v>6.4250849999999998E-2</v>
      </c>
      <c r="P12" s="161">
        <f t="shared" si="3"/>
        <v>2958855.6349849193</v>
      </c>
      <c r="Q12" s="133">
        <v>3.9715E-2</v>
      </c>
      <c r="R12" s="111">
        <f t="shared" si="4"/>
        <v>43894560.726312973</v>
      </c>
      <c r="S12" s="93">
        <f t="shared" si="5"/>
        <v>53730898.111871086</v>
      </c>
      <c r="U12" s="149" t="s">
        <v>100</v>
      </c>
      <c r="V12" s="98" t="s">
        <v>101</v>
      </c>
      <c r="W12" s="82">
        <f t="shared" si="6"/>
        <v>50683925.263235681</v>
      </c>
      <c r="X12" s="111">
        <f t="shared" si="7"/>
        <v>47571271.140154116</v>
      </c>
      <c r="Y12" s="149" t="s">
        <v>20</v>
      </c>
      <c r="Z12" s="98" t="s">
        <v>120</v>
      </c>
      <c r="AA12" s="82">
        <f t="shared" si="8"/>
        <v>52814298.721066803</v>
      </c>
      <c r="AB12" s="111">
        <f t="shared" si="9"/>
        <v>86243875.766469866</v>
      </c>
    </row>
    <row r="13" spans="1:28" x14ac:dyDescent="0.15">
      <c r="A13" s="88" t="s">
        <v>242</v>
      </c>
      <c r="B13" s="88">
        <v>2015</v>
      </c>
      <c r="C13" s="122">
        <v>120.36359673</v>
      </c>
      <c r="D13" s="113">
        <f t="shared" si="0"/>
        <v>120363596.73</v>
      </c>
      <c r="H13" s="149" t="s">
        <v>14</v>
      </c>
      <c r="I13" s="90" t="s">
        <v>103</v>
      </c>
      <c r="J13" s="91">
        <v>5.1361169999999998E-2</v>
      </c>
      <c r="K13" s="162">
        <v>0.13147220000000001</v>
      </c>
      <c r="L13" s="111">
        <f t="shared" si="1"/>
        <v>99861459.443684131</v>
      </c>
      <c r="M13" s="133">
        <v>5.1612909999999998E-2</v>
      </c>
      <c r="N13" s="161">
        <f t="shared" si="2"/>
        <v>6602383.452751101</v>
      </c>
      <c r="O13" s="133">
        <v>9.8689280000000004E-2</v>
      </c>
      <c r="P13" s="161">
        <f t="shared" si="3"/>
        <v>4544801.0764154019</v>
      </c>
      <c r="Q13" s="133">
        <v>0.141846</v>
      </c>
      <c r="R13" s="111">
        <f t="shared" si="4"/>
        <v>156773709.19764799</v>
      </c>
      <c r="S13" s="93">
        <f t="shared" si="5"/>
        <v>167920893.72681448</v>
      </c>
      <c r="U13" s="149" t="s">
        <v>13</v>
      </c>
      <c r="V13" s="98" t="s">
        <v>102</v>
      </c>
      <c r="W13" s="82">
        <f t="shared" si="6"/>
        <v>65652969.756918378</v>
      </c>
      <c r="X13" s="111">
        <f t="shared" si="7"/>
        <v>53730898.111871086</v>
      </c>
      <c r="Y13" s="149" t="s">
        <v>21</v>
      </c>
      <c r="Z13" s="98" t="s">
        <v>121</v>
      </c>
      <c r="AA13" s="82">
        <f t="shared" si="8"/>
        <v>23379570.980484005</v>
      </c>
      <c r="AB13" s="111">
        <f t="shared" si="9"/>
        <v>49881650.038822934</v>
      </c>
    </row>
    <row r="14" spans="1:28" x14ac:dyDescent="0.15">
      <c r="A14" s="88" t="s">
        <v>243</v>
      </c>
      <c r="B14" s="88">
        <v>2017</v>
      </c>
      <c r="C14" s="122">
        <v>3841.1635550199999</v>
      </c>
      <c r="D14" s="113">
        <f t="shared" si="0"/>
        <v>3841163555.02</v>
      </c>
      <c r="H14" s="149" t="s">
        <v>104</v>
      </c>
      <c r="I14" s="90" t="s">
        <v>105</v>
      </c>
      <c r="J14" s="91">
        <v>1.5118889999999999E-2</v>
      </c>
      <c r="K14" s="162">
        <v>3.4342499999999998E-2</v>
      </c>
      <c r="L14" s="111">
        <f t="shared" si="1"/>
        <v>27537281.663704734</v>
      </c>
      <c r="M14" s="133">
        <v>1.548387E-2</v>
      </c>
      <c r="N14" s="161">
        <f t="shared" si="2"/>
        <v>1980714.6520618426</v>
      </c>
      <c r="O14" s="133">
        <v>4.6260600000000004E-3</v>
      </c>
      <c r="P14" s="161">
        <f t="shared" si="3"/>
        <v>213037.55045697195</v>
      </c>
      <c r="Q14" s="133">
        <v>1.5004E-2</v>
      </c>
      <c r="R14" s="111">
        <f t="shared" si="4"/>
        <v>16583003.629298748</v>
      </c>
      <c r="S14" s="93">
        <f t="shared" si="5"/>
        <v>18776755.831817564</v>
      </c>
      <c r="U14" s="149" t="s">
        <v>14</v>
      </c>
      <c r="V14" s="98" t="s">
        <v>103</v>
      </c>
      <c r="W14" s="82">
        <f t="shared" si="6"/>
        <v>99861459.443684131</v>
      </c>
      <c r="X14" s="111">
        <f t="shared" si="7"/>
        <v>167920893.72681448</v>
      </c>
      <c r="Y14" s="149" t="s">
        <v>25</v>
      </c>
      <c r="Z14" s="98" t="s">
        <v>122</v>
      </c>
      <c r="AA14" s="82">
        <f t="shared" si="8"/>
        <v>32466612.799773298</v>
      </c>
      <c r="AB14" s="111">
        <f t="shared" si="9"/>
        <v>19133601.074066147</v>
      </c>
    </row>
    <row r="15" spans="1:28" x14ac:dyDescent="0.15">
      <c r="A15" s="88" t="s">
        <v>244</v>
      </c>
      <c r="B15" s="88">
        <v>2018</v>
      </c>
      <c r="C15" s="122">
        <v>8014.5518480000001</v>
      </c>
      <c r="D15" s="113">
        <f t="shared" si="0"/>
        <v>8014551848</v>
      </c>
      <c r="H15" s="149" t="s">
        <v>106</v>
      </c>
      <c r="I15" s="90" t="s">
        <v>107</v>
      </c>
      <c r="J15" s="91">
        <v>2.0727059999999999E-2</v>
      </c>
      <c r="K15" s="162">
        <v>0.1405363</v>
      </c>
      <c r="L15" s="111">
        <f t="shared" si="1"/>
        <v>77601420.366030067</v>
      </c>
      <c r="M15" s="133">
        <v>1.376344E-2</v>
      </c>
      <c r="N15" s="161">
        <f t="shared" si="2"/>
        <v>1760635.2462771935</v>
      </c>
      <c r="O15" s="133">
        <v>1.2336150000000001E-2</v>
      </c>
      <c r="P15" s="161">
        <f t="shared" si="3"/>
        <v>568099.67403573985</v>
      </c>
      <c r="Q15" s="133">
        <v>1.8949000000000001E-2</v>
      </c>
      <c r="R15" s="111">
        <f t="shared" si="4"/>
        <v>20943170.872539457</v>
      </c>
      <c r="S15" s="93">
        <f t="shared" si="5"/>
        <v>23271905.792852391</v>
      </c>
      <c r="U15" s="149" t="s">
        <v>104</v>
      </c>
      <c r="V15" s="98" t="s">
        <v>105</v>
      </c>
      <c r="W15" s="82">
        <f t="shared" si="6"/>
        <v>27537281.663704734</v>
      </c>
      <c r="X15" s="111">
        <f t="shared" si="7"/>
        <v>18776755.831817564</v>
      </c>
      <c r="Y15" s="149" t="s">
        <v>22</v>
      </c>
      <c r="Z15" s="98" t="s">
        <v>123</v>
      </c>
      <c r="AA15" s="82">
        <f t="shared" si="8"/>
        <v>73512761.526384801</v>
      </c>
      <c r="AB15" s="111">
        <f t="shared" si="9"/>
        <v>170676683.52181</v>
      </c>
    </row>
    <row r="16" spans="1:28" x14ac:dyDescent="0.15">
      <c r="A16" s="88" t="s">
        <v>245</v>
      </c>
      <c r="B16" s="88">
        <v>2019</v>
      </c>
      <c r="C16" s="122">
        <v>8916</v>
      </c>
      <c r="D16" s="113">
        <f t="shared" si="0"/>
        <v>8916000000</v>
      </c>
      <c r="H16" s="149" t="s">
        <v>15</v>
      </c>
      <c r="I16" s="90" t="s">
        <v>108</v>
      </c>
      <c r="J16" s="91">
        <v>6.5267220000000001E-2</v>
      </c>
      <c r="K16" s="162">
        <v>5.8891399999999997E-2</v>
      </c>
      <c r="L16" s="111">
        <f t="shared" si="1"/>
        <v>80771912.268944442</v>
      </c>
      <c r="M16" s="133">
        <v>4.6451609999999997E-2</v>
      </c>
      <c r="N16" s="161">
        <f t="shared" si="2"/>
        <v>5942143.9561855271</v>
      </c>
      <c r="O16" s="133">
        <v>5.5512720000000002E-2</v>
      </c>
      <c r="P16" s="161">
        <f t="shared" si="3"/>
        <v>2556450.6054836633</v>
      </c>
      <c r="Q16" s="133">
        <v>3.2947999999999998E-2</v>
      </c>
      <c r="R16" s="111">
        <f t="shared" si="4"/>
        <v>36415409.46268563</v>
      </c>
      <c r="S16" s="93">
        <f t="shared" si="5"/>
        <v>44914004.024354815</v>
      </c>
      <c r="U16" s="149" t="s">
        <v>106</v>
      </c>
      <c r="V16" s="98" t="s">
        <v>107</v>
      </c>
      <c r="W16" s="82">
        <f t="shared" si="6"/>
        <v>77601420.366030067</v>
      </c>
      <c r="X16" s="111">
        <f t="shared" si="7"/>
        <v>23271905.792852391</v>
      </c>
      <c r="Y16" s="149" t="s">
        <v>124</v>
      </c>
      <c r="Z16" s="98" t="s">
        <v>125</v>
      </c>
      <c r="AA16" s="82">
        <f t="shared" si="8"/>
        <v>32541216.421805933</v>
      </c>
      <c r="AB16" s="111">
        <f t="shared" si="9"/>
        <v>17730871.587644022</v>
      </c>
    </row>
    <row r="17" spans="1:28" x14ac:dyDescent="0.15">
      <c r="A17" s="325" t="s">
        <v>246</v>
      </c>
      <c r="B17" s="325"/>
      <c r="C17" s="325"/>
      <c r="D17" s="325"/>
      <c r="H17" s="149" t="s">
        <v>16</v>
      </c>
      <c r="I17" s="90" t="s">
        <v>109</v>
      </c>
      <c r="J17" s="91">
        <v>4.3835220000000001E-2</v>
      </c>
      <c r="K17" s="162">
        <v>2.0113000000000002E-3</v>
      </c>
      <c r="L17" s="111">
        <f t="shared" si="1"/>
        <v>38240641.484848559</v>
      </c>
      <c r="M17" s="133">
        <v>3.4408599999999998E-2</v>
      </c>
      <c r="N17" s="161">
        <f t="shared" si="2"/>
        <v>4401588.1156929834</v>
      </c>
      <c r="O17" s="133">
        <v>1.028013E-2</v>
      </c>
      <c r="P17" s="161">
        <f t="shared" si="3"/>
        <v>473416.62528787588</v>
      </c>
      <c r="Q17" s="133">
        <v>3.1941999999999998E-2</v>
      </c>
      <c r="R17" s="111">
        <f t="shared" si="4"/>
        <v>35303539.184688121</v>
      </c>
      <c r="S17" s="93">
        <f t="shared" si="5"/>
        <v>40178543.925668977</v>
      </c>
      <c r="U17" s="149" t="s">
        <v>15</v>
      </c>
      <c r="V17" s="98" t="s">
        <v>108</v>
      </c>
      <c r="W17" s="82">
        <f t="shared" si="6"/>
        <v>80771912.268944442</v>
      </c>
      <c r="X17" s="111">
        <f t="shared" si="7"/>
        <v>44914004.024354815</v>
      </c>
      <c r="Y17" s="351" t="s">
        <v>28</v>
      </c>
      <c r="Z17" s="352"/>
      <c r="AA17" s="163">
        <f>SUM(W4:W17)+SUM(AA4:AA16)</f>
        <v>1279211626.0739996</v>
      </c>
      <c r="AB17" s="163">
        <f>SUM(X4:X17)+SUM(AB4:AB16)</f>
        <v>1279211626.0739996</v>
      </c>
    </row>
    <row r="18" spans="1:28" x14ac:dyDescent="0.15">
      <c r="A18" s="88" t="s">
        <v>247</v>
      </c>
      <c r="B18" s="88">
        <v>2013</v>
      </c>
      <c r="C18" s="120">
        <v>15000</v>
      </c>
      <c r="D18" s="164">
        <f>C18*1000000</f>
        <v>15000000000</v>
      </c>
      <c r="H18" s="149" t="s">
        <v>17</v>
      </c>
      <c r="I18" s="90" t="s">
        <v>110</v>
      </c>
      <c r="J18" s="91">
        <v>6.3232819999999995E-2</v>
      </c>
      <c r="K18" s="162">
        <v>7.4459000000000001E-3</v>
      </c>
      <c r="L18" s="111">
        <f t="shared" si="1"/>
        <v>57100399.611157812</v>
      </c>
      <c r="M18" s="133">
        <v>4.8172039999999999E-2</v>
      </c>
      <c r="N18" s="161">
        <f t="shared" si="2"/>
        <v>6162223.3619701769</v>
      </c>
      <c r="O18" s="133">
        <v>5.7568769999999998E-2</v>
      </c>
      <c r="P18" s="161">
        <f t="shared" si="3"/>
        <v>2651135.0357800834</v>
      </c>
      <c r="Q18" s="133">
        <v>4.7952000000000002E-2</v>
      </c>
      <c r="R18" s="111">
        <f t="shared" si="4"/>
        <v>52998413.091984384</v>
      </c>
      <c r="S18" s="93">
        <f t="shared" si="5"/>
        <v>61811771.489734642</v>
      </c>
    </row>
    <row r="19" spans="1:28" x14ac:dyDescent="0.15">
      <c r="A19" s="88" t="s">
        <v>248</v>
      </c>
      <c r="B19" s="88">
        <v>2017</v>
      </c>
      <c r="C19" s="120">
        <v>3300</v>
      </c>
      <c r="D19" s="164">
        <f t="shared" ref="D19:D24" si="10">C19*1000000</f>
        <v>3300000000</v>
      </c>
      <c r="H19" s="149" t="s">
        <v>111</v>
      </c>
      <c r="I19" s="90" t="s">
        <v>112</v>
      </c>
      <c r="J19" s="91">
        <v>4.4624150000000001E-2</v>
      </c>
      <c r="K19" s="162">
        <v>4.1066000000000002E-3</v>
      </c>
      <c r="L19" s="111">
        <f t="shared" si="1"/>
        <v>39806891.143658549</v>
      </c>
      <c r="M19" s="133">
        <v>5.3763440000000003E-2</v>
      </c>
      <c r="N19" s="161">
        <f t="shared" si="2"/>
        <v>6877481.7505731937</v>
      </c>
      <c r="O19" s="133">
        <v>1.2850169999999999E-2</v>
      </c>
      <c r="P19" s="161">
        <f t="shared" si="3"/>
        <v>591771.12699698377</v>
      </c>
      <c r="Q19" s="133">
        <v>2.4015000000000002E-2</v>
      </c>
      <c r="R19" s="111">
        <f t="shared" si="4"/>
        <v>26542310.860944379</v>
      </c>
      <c r="S19" s="93">
        <f t="shared" si="5"/>
        <v>34011563.738514557</v>
      </c>
    </row>
    <row r="20" spans="1:28" x14ac:dyDescent="0.15">
      <c r="A20" s="88" t="s">
        <v>249</v>
      </c>
      <c r="B20" s="88">
        <v>2017</v>
      </c>
      <c r="C20" s="120">
        <v>2850</v>
      </c>
      <c r="D20" s="164">
        <f t="shared" si="10"/>
        <v>2850000000</v>
      </c>
      <c r="H20" s="149" t="s">
        <v>18</v>
      </c>
      <c r="I20" s="90" t="s">
        <v>113</v>
      </c>
      <c r="J20" s="91">
        <v>2.5740260000000001E-2</v>
      </c>
      <c r="K20" s="162">
        <v>8.8360499999999995E-2</v>
      </c>
      <c r="L20" s="111">
        <f t="shared" si="1"/>
        <v>59628752.862015575</v>
      </c>
      <c r="M20" s="133">
        <v>3.0967740000000001E-2</v>
      </c>
      <c r="N20" s="161">
        <f t="shared" si="2"/>
        <v>3961429.3041236852</v>
      </c>
      <c r="O20" s="133">
        <v>4.6260600000000006E-2</v>
      </c>
      <c r="P20" s="161">
        <f t="shared" si="3"/>
        <v>2130375.5045697195</v>
      </c>
      <c r="Q20" s="133">
        <v>7.2857000000000005E-2</v>
      </c>
      <c r="R20" s="111">
        <f t="shared" si="4"/>
        <v>80524386.524914622</v>
      </c>
      <c r="S20" s="93">
        <f t="shared" si="5"/>
        <v>86616191.333608031</v>
      </c>
    </row>
    <row r="21" spans="1:28" x14ac:dyDescent="0.15">
      <c r="A21" s="88" t="s">
        <v>250</v>
      </c>
      <c r="B21" s="88">
        <v>2018</v>
      </c>
      <c r="C21" s="120">
        <v>3150</v>
      </c>
      <c r="D21" s="164">
        <f t="shared" si="10"/>
        <v>3150000000</v>
      </c>
      <c r="H21" s="149" t="s">
        <v>19</v>
      </c>
      <c r="I21" s="90" t="s">
        <v>114</v>
      </c>
      <c r="J21" s="91">
        <v>1.2666449999999999E-2</v>
      </c>
      <c r="K21" s="160">
        <v>4.88583E-2</v>
      </c>
      <c r="L21" s="111">
        <f t="shared" si="1"/>
        <v>31635415.197460443</v>
      </c>
      <c r="M21" s="141">
        <v>3.4408599999999998E-2</v>
      </c>
      <c r="N21" s="161">
        <f t="shared" si="2"/>
        <v>4401588.1156929834</v>
      </c>
      <c r="O21" s="133">
        <v>9.0465099999999993E-2</v>
      </c>
      <c r="P21" s="161">
        <f t="shared" si="3"/>
        <v>4166064.2762620915</v>
      </c>
      <c r="Q21" s="133">
        <v>2.7378999999999997E-2</v>
      </c>
      <c r="R21" s="111">
        <f t="shared" si="4"/>
        <v>30260334.335281953</v>
      </c>
      <c r="S21" s="93">
        <f t="shared" si="5"/>
        <v>38827986.727237031</v>
      </c>
    </row>
    <row r="22" spans="1:28" x14ac:dyDescent="0.15">
      <c r="A22" s="88" t="s">
        <v>251</v>
      </c>
      <c r="B22" s="88">
        <v>2018</v>
      </c>
      <c r="C22" s="120">
        <v>6820</v>
      </c>
      <c r="D22" s="164">
        <f t="shared" si="10"/>
        <v>6820000000</v>
      </c>
      <c r="H22" s="149" t="s">
        <v>24</v>
      </c>
      <c r="I22" s="90" t="s">
        <v>115</v>
      </c>
      <c r="J22" s="91">
        <v>3.7658919999999999E-2</v>
      </c>
      <c r="K22" s="160">
        <v>4.0482000000000001E-3</v>
      </c>
      <c r="L22" s="111">
        <f t="shared" si="1"/>
        <v>33841987.027818032</v>
      </c>
      <c r="M22" s="133">
        <v>3.0967740000000001E-2</v>
      </c>
      <c r="N22" s="161">
        <f t="shared" si="2"/>
        <v>3961429.3041236852</v>
      </c>
      <c r="O22" s="133">
        <v>1.8504240000000002E-2</v>
      </c>
      <c r="P22" s="161">
        <f t="shared" si="3"/>
        <v>852150.20182788779</v>
      </c>
      <c r="Q22" s="133">
        <v>2.4323999999999998E-2</v>
      </c>
      <c r="R22" s="111">
        <f t="shared" si="4"/>
        <v>26883829.66402711</v>
      </c>
      <c r="S22" s="93">
        <f t="shared" si="5"/>
        <v>31697409.169978682</v>
      </c>
    </row>
    <row r="23" spans="1:28" x14ac:dyDescent="0.15">
      <c r="A23" s="88" t="s">
        <v>252</v>
      </c>
      <c r="B23" s="88">
        <v>2019</v>
      </c>
      <c r="C23" s="120">
        <v>5050</v>
      </c>
      <c r="D23" s="164">
        <f t="shared" si="10"/>
        <v>5050000000</v>
      </c>
      <c r="H23" s="149" t="s">
        <v>116</v>
      </c>
      <c r="I23" s="90" t="s">
        <v>117</v>
      </c>
      <c r="J23" s="91">
        <v>2.9820200000000002E-2</v>
      </c>
      <c r="K23" s="160">
        <v>8.0558000000000001E-3</v>
      </c>
      <c r="L23" s="111">
        <f t="shared" si="1"/>
        <v>28865922.027010232</v>
      </c>
      <c r="M23" s="133">
        <v>2.408602E-2</v>
      </c>
      <c r="N23" s="161">
        <f t="shared" si="2"/>
        <v>3081111.6809850885</v>
      </c>
      <c r="O23" s="133">
        <v>0</v>
      </c>
      <c r="P23" s="161">
        <f t="shared" si="3"/>
        <v>0</v>
      </c>
      <c r="Q23" s="133">
        <v>7.4640000000000001E-3</v>
      </c>
      <c r="R23" s="111">
        <f t="shared" si="4"/>
        <v>8249502.7385421135</v>
      </c>
      <c r="S23" s="93">
        <f t="shared" si="5"/>
        <v>11330614.419527203</v>
      </c>
    </row>
    <row r="24" spans="1:28" x14ac:dyDescent="0.15">
      <c r="A24" s="88" t="s">
        <v>253</v>
      </c>
      <c r="B24" s="88">
        <v>2019</v>
      </c>
      <c r="C24" s="120">
        <v>69960</v>
      </c>
      <c r="D24" s="164">
        <f t="shared" si="10"/>
        <v>69960000000</v>
      </c>
      <c r="H24" s="149" t="s">
        <v>118</v>
      </c>
      <c r="I24" s="90" t="s">
        <v>119</v>
      </c>
      <c r="J24" s="91">
        <v>3.4815939999999997E-2</v>
      </c>
      <c r="K24" s="162">
        <v>2.4469999999999998E-4</v>
      </c>
      <c r="L24" s="111">
        <f t="shared" si="1"/>
        <v>29795644.508763306</v>
      </c>
      <c r="M24" s="133">
        <v>4.301075E-2</v>
      </c>
      <c r="N24" s="161">
        <f t="shared" si="2"/>
        <v>5501985.1446162295</v>
      </c>
      <c r="O24" s="133">
        <v>0</v>
      </c>
      <c r="P24" s="161">
        <f t="shared" si="3"/>
        <v>0</v>
      </c>
      <c r="Q24" s="133">
        <v>8.5099999999999998E-4</v>
      </c>
      <c r="R24" s="111">
        <f t="shared" si="4"/>
        <v>940558.25703367335</v>
      </c>
      <c r="S24" s="93">
        <f t="shared" si="5"/>
        <v>6442543.4016499026</v>
      </c>
    </row>
    <row r="25" spans="1:28" x14ac:dyDescent="0.15">
      <c r="C25" s="120"/>
      <c r="D25" s="164"/>
      <c r="H25" s="149" t="s">
        <v>20</v>
      </c>
      <c r="I25" s="90" t="s">
        <v>120</v>
      </c>
      <c r="J25" s="91">
        <v>1.2586750000000001E-2</v>
      </c>
      <c r="K25" s="160">
        <v>9.8686300000000005E-2</v>
      </c>
      <c r="L25" s="111">
        <f t="shared" si="1"/>
        <v>52814298.721066803</v>
      </c>
      <c r="M25" s="133">
        <v>2.7096769999999999E-2</v>
      </c>
      <c r="N25" s="161">
        <f t="shared" si="2"/>
        <v>3466250.3213053178</v>
      </c>
      <c r="O25" s="133">
        <v>4.5232549999999996E-2</v>
      </c>
      <c r="P25" s="161">
        <f t="shared" si="3"/>
        <v>2083032.1381310457</v>
      </c>
      <c r="Q25" s="133">
        <v>7.3010999999999993E-2</v>
      </c>
      <c r="R25" s="111">
        <f t="shared" si="4"/>
        <v>80694593.307033509</v>
      </c>
      <c r="S25" s="93">
        <f t="shared" si="5"/>
        <v>86243875.766469866</v>
      </c>
    </row>
    <row r="26" spans="1:28" x14ac:dyDescent="0.15">
      <c r="B26" s="151" t="s">
        <v>254</v>
      </c>
      <c r="C26" s="151" t="s">
        <v>198</v>
      </c>
      <c r="D26" s="151" t="s">
        <v>197</v>
      </c>
      <c r="E26" s="151" t="s">
        <v>255</v>
      </c>
      <c r="H26" s="149" t="s">
        <v>21</v>
      </c>
      <c r="I26" s="90" t="s">
        <v>121</v>
      </c>
      <c r="J26" s="91">
        <v>1.224127E-2</v>
      </c>
      <c r="K26" s="162">
        <v>3.0347099999999998E-2</v>
      </c>
      <c r="L26" s="111">
        <f t="shared" si="1"/>
        <v>23379570.980484005</v>
      </c>
      <c r="M26" s="133">
        <v>1.376344E-2</v>
      </c>
      <c r="N26" s="161">
        <f t="shared" si="2"/>
        <v>1760635.2462771935</v>
      </c>
      <c r="O26" s="133">
        <v>3.7008449999999998E-2</v>
      </c>
      <c r="P26" s="161">
        <f t="shared" si="3"/>
        <v>1704299.0221072193</v>
      </c>
      <c r="Q26" s="133">
        <v>4.1997E-2</v>
      </c>
      <c r="R26" s="111">
        <f t="shared" si="4"/>
        <v>46416715.770438522</v>
      </c>
      <c r="S26" s="93">
        <f t="shared" si="5"/>
        <v>49881650.038822934</v>
      </c>
    </row>
    <row r="27" spans="1:28" x14ac:dyDescent="0.15">
      <c r="B27" s="151">
        <v>2013</v>
      </c>
      <c r="C27" s="82">
        <f>D11+D12</f>
        <v>2634463550.3699999</v>
      </c>
      <c r="D27" s="111">
        <f>D18</f>
        <v>15000000000</v>
      </c>
      <c r="E27" s="111">
        <v>0</v>
      </c>
      <c r="H27" s="149" t="s">
        <v>25</v>
      </c>
      <c r="I27" s="90" t="s">
        <v>122</v>
      </c>
      <c r="J27" s="91">
        <v>3.6762309999999999E-2</v>
      </c>
      <c r="K27" s="160">
        <v>2.6159E-3</v>
      </c>
      <c r="L27" s="111">
        <f t="shared" si="1"/>
        <v>32466612.799773298</v>
      </c>
      <c r="M27" s="133">
        <v>3.0967740000000001E-2</v>
      </c>
      <c r="N27" s="161">
        <f t="shared" si="2"/>
        <v>3961429.3041236852</v>
      </c>
      <c r="O27" s="133">
        <v>9.2521200000000008E-3</v>
      </c>
      <c r="P27" s="161">
        <f t="shared" si="3"/>
        <v>426075.1009139439</v>
      </c>
      <c r="Q27" s="133">
        <v>1.3342E-2</v>
      </c>
      <c r="R27" s="111">
        <f t="shared" si="4"/>
        <v>14746096.669028519</v>
      </c>
      <c r="S27" s="93">
        <f t="shared" si="5"/>
        <v>19133601.074066147</v>
      </c>
    </row>
    <row r="28" spans="1:28" x14ac:dyDescent="0.15">
      <c r="B28" s="151">
        <v>2014</v>
      </c>
      <c r="C28" s="111">
        <v>0</v>
      </c>
      <c r="D28" s="111">
        <v>0</v>
      </c>
      <c r="E28" s="111">
        <v>0</v>
      </c>
      <c r="H28" s="149" t="s">
        <v>22</v>
      </c>
      <c r="I28" s="90" t="s">
        <v>123</v>
      </c>
      <c r="J28" s="91">
        <v>8.3463600000000006E-3</v>
      </c>
      <c r="K28" s="160">
        <v>0.15570899999999999</v>
      </c>
      <c r="L28" s="111">
        <f t="shared" si="1"/>
        <v>73512761.526384801</v>
      </c>
      <c r="M28" s="133">
        <v>3.010753E-2</v>
      </c>
      <c r="N28" s="161">
        <f t="shared" si="2"/>
        <v>3851390.240837174</v>
      </c>
      <c r="O28" s="133">
        <v>0.19969176999999999</v>
      </c>
      <c r="P28" s="161">
        <f t="shared" si="3"/>
        <v>9196129.2173506245</v>
      </c>
      <c r="Q28" s="133">
        <v>0.14262</v>
      </c>
      <c r="R28" s="111">
        <f t="shared" si="4"/>
        <v>157629164.06362221</v>
      </c>
      <c r="S28" s="93">
        <f t="shared" si="5"/>
        <v>170676683.52181</v>
      </c>
    </row>
    <row r="29" spans="1:28" x14ac:dyDescent="0.15">
      <c r="B29" s="151">
        <v>2015</v>
      </c>
      <c r="C29" s="82">
        <f>D13</f>
        <v>120363596.73</v>
      </c>
      <c r="D29" s="111">
        <v>0</v>
      </c>
      <c r="E29" s="111">
        <v>0</v>
      </c>
      <c r="H29" s="149" t="s">
        <v>124</v>
      </c>
      <c r="I29" s="90" t="s">
        <v>125</v>
      </c>
      <c r="J29" s="91">
        <v>3.4123189999999998E-2</v>
      </c>
      <c r="K29" s="160">
        <v>8.0690999999999992E-3</v>
      </c>
      <c r="L29" s="111">
        <f t="shared" si="1"/>
        <v>32541216.421805933</v>
      </c>
      <c r="M29" s="133">
        <v>2.408602E-2</v>
      </c>
      <c r="N29" s="161">
        <f t="shared" si="2"/>
        <v>3081111.6809850885</v>
      </c>
      <c r="O29" s="133">
        <v>7.1960699999999997E-3</v>
      </c>
      <c r="P29" s="161">
        <f t="shared" si="3"/>
        <v>331390.67061752378</v>
      </c>
      <c r="Q29" s="133">
        <v>1.2955000000000001E-2</v>
      </c>
      <c r="R29" s="111">
        <f t="shared" si="4"/>
        <v>14318369.23604141</v>
      </c>
      <c r="S29" s="93">
        <f t="shared" si="5"/>
        <v>17730871.587644022</v>
      </c>
    </row>
    <row r="30" spans="1:28" x14ac:dyDescent="0.15">
      <c r="B30" s="151">
        <v>2016</v>
      </c>
      <c r="C30" s="111">
        <v>0</v>
      </c>
      <c r="D30" s="111">
        <v>0</v>
      </c>
      <c r="E30" s="111">
        <v>0</v>
      </c>
      <c r="J30" s="146">
        <f t="shared" ref="J30:S30" si="11">SUM(J3:J29)</f>
        <v>0.99999999999999956</v>
      </c>
      <c r="K30" s="162">
        <f t="shared" si="11"/>
        <v>0.99999999999999989</v>
      </c>
      <c r="L30" s="82">
        <f t="shared" si="11"/>
        <v>1279211626.0739994</v>
      </c>
      <c r="M30" s="165">
        <f t="shared" si="11"/>
        <v>1</v>
      </c>
      <c r="N30" s="93">
        <f t="shared" si="11"/>
        <v>127921162.6074</v>
      </c>
      <c r="O30" s="165">
        <f t="shared" si="11"/>
        <v>0.99999999999999978</v>
      </c>
      <c r="P30" s="93">
        <f t="shared" si="11"/>
        <v>46051618.538663983</v>
      </c>
      <c r="Q30" s="165">
        <f t="shared" si="11"/>
        <v>1</v>
      </c>
      <c r="R30" s="93">
        <f t="shared" si="11"/>
        <v>1105238844.9279358</v>
      </c>
      <c r="S30" s="166">
        <f t="shared" si="11"/>
        <v>1279211626.0739996</v>
      </c>
    </row>
    <row r="31" spans="1:28" x14ac:dyDescent="0.15">
      <c r="B31" s="151">
        <v>2017</v>
      </c>
      <c r="C31" s="82">
        <f>D14</f>
        <v>3841163555.02</v>
      </c>
      <c r="D31" s="111">
        <f>D19+D20</f>
        <v>6150000000</v>
      </c>
      <c r="E31" s="111">
        <v>0</v>
      </c>
    </row>
    <row r="32" spans="1:28" x14ac:dyDescent="0.15">
      <c r="B32" s="151">
        <v>2018</v>
      </c>
      <c r="C32" s="82">
        <f>D15</f>
        <v>8014551848</v>
      </c>
      <c r="D32" s="111">
        <f>D21+D22</f>
        <v>9970000000</v>
      </c>
      <c r="E32" s="111">
        <v>0</v>
      </c>
      <c r="H32" s="285" t="s">
        <v>163</v>
      </c>
      <c r="I32" s="285"/>
      <c r="J32" s="324" t="s">
        <v>76</v>
      </c>
      <c r="K32" s="324"/>
      <c r="L32" s="324"/>
      <c r="M32" s="324" t="s">
        <v>27</v>
      </c>
      <c r="N32" s="324"/>
      <c r="O32" s="324"/>
      <c r="P32" s="324"/>
      <c r="Q32" s="324"/>
      <c r="R32" s="324"/>
      <c r="S32" s="324"/>
    </row>
    <row r="33" spans="1:28" x14ac:dyDescent="0.15">
      <c r="B33" s="151">
        <v>2019</v>
      </c>
      <c r="C33" s="82">
        <f>D16</f>
        <v>8916000000</v>
      </c>
      <c r="D33" s="111">
        <f>D23</f>
        <v>5050000000</v>
      </c>
      <c r="E33" s="111">
        <f>D24</f>
        <v>69960000000</v>
      </c>
      <c r="H33" s="285"/>
      <c r="I33" s="285"/>
      <c r="J33" s="151" t="s">
        <v>259</v>
      </c>
      <c r="K33" s="151" t="s">
        <v>203</v>
      </c>
      <c r="L33" s="151" t="s">
        <v>28</v>
      </c>
      <c r="M33" s="324" t="s">
        <v>260</v>
      </c>
      <c r="N33" s="324"/>
      <c r="O33" s="324" t="s">
        <v>261</v>
      </c>
      <c r="P33" s="324"/>
      <c r="Q33" s="324" t="s">
        <v>262</v>
      </c>
      <c r="R33" s="324"/>
      <c r="S33" s="151" t="s">
        <v>200</v>
      </c>
    </row>
    <row r="34" spans="1:28" x14ac:dyDescent="0.15">
      <c r="B34" s="151" t="s">
        <v>28</v>
      </c>
      <c r="C34" s="112">
        <f>SUM(C27:C33)</f>
        <v>23526542550.119999</v>
      </c>
      <c r="D34" s="158">
        <f>SUM(D27:D33)</f>
        <v>36170000000</v>
      </c>
      <c r="E34" s="158">
        <f>SUM(E33)</f>
        <v>69960000000</v>
      </c>
      <c r="H34" s="149" t="s">
        <v>90</v>
      </c>
      <c r="I34" s="90" t="s">
        <v>91</v>
      </c>
      <c r="J34" s="91">
        <v>3.9530589999999997E-2</v>
      </c>
      <c r="K34" s="160">
        <v>5.6669999999999995E-4</v>
      </c>
      <c r="L34" s="111">
        <f>(2/3)*$D$41*J34+(1/3)*$E$41*K34</f>
        <v>73744825.795684621</v>
      </c>
      <c r="M34" s="133">
        <v>3.0967740000000001E-2</v>
      </c>
      <c r="N34" s="161">
        <f>$E$41*0.1*M34</f>
        <v>8603935.926409401</v>
      </c>
      <c r="O34" s="133">
        <v>0</v>
      </c>
      <c r="P34" s="161">
        <f>$E$41*0.036*O34</f>
        <v>0</v>
      </c>
      <c r="Q34" s="133">
        <v>2.63E-3</v>
      </c>
      <c r="R34" s="111">
        <f>$E$41*0.864*Q34</f>
        <v>6313310.4593033278</v>
      </c>
      <c r="S34" s="93">
        <f>N34+P34+R34</f>
        <v>14917246.385712728</v>
      </c>
      <c r="U34" s="356" t="s">
        <v>163</v>
      </c>
      <c r="V34" s="356"/>
      <c r="W34" s="159" t="s">
        <v>204</v>
      </c>
      <c r="X34" s="159" t="s">
        <v>27</v>
      </c>
      <c r="Y34" s="356" t="s">
        <v>163</v>
      </c>
      <c r="Z34" s="356"/>
      <c r="AA34" s="159" t="s">
        <v>204</v>
      </c>
      <c r="AB34" s="159" t="s">
        <v>27</v>
      </c>
    </row>
    <row r="35" spans="1:28" x14ac:dyDescent="0.15">
      <c r="B35" s="307"/>
      <c r="C35" s="307"/>
      <c r="D35" s="149" t="s">
        <v>28</v>
      </c>
      <c r="E35" s="149" t="s">
        <v>256</v>
      </c>
      <c r="H35" s="149" t="s">
        <v>4</v>
      </c>
      <c r="I35" s="90" t="s">
        <v>92</v>
      </c>
      <c r="J35" s="91">
        <v>4.9123090000000001E-2</v>
      </c>
      <c r="K35" s="160">
        <v>5.6182000000000003E-3</v>
      </c>
      <c r="L35" s="111">
        <f t="shared" ref="L35:L60" si="12">(2/3)*$D$41*J35+(1/3)*$E$41*K35</f>
        <v>96190688.606513083</v>
      </c>
      <c r="M35" s="133">
        <v>4.301075E-2</v>
      </c>
      <c r="N35" s="161">
        <f t="shared" ref="N35:N60" si="13">$E$41*0.1*M35</f>
        <v>11949911.008901944</v>
      </c>
      <c r="O35" s="133">
        <v>1.028013E-2</v>
      </c>
      <c r="P35" s="161">
        <f t="shared" ref="P35:P60" si="14">$E$41*0.036*O35</f>
        <v>1028226.4298478758</v>
      </c>
      <c r="Q35" s="133">
        <v>2.0882999999999999E-2</v>
      </c>
      <c r="R35" s="111">
        <f t="shared" ref="R35:R60" si="15">$E$41*0.864*Q35</f>
        <v>50129605.445487224</v>
      </c>
      <c r="S35" s="93">
        <f t="shared" ref="S35:S60" si="16">N35+P35+R35</f>
        <v>63107742.884237044</v>
      </c>
      <c r="U35" s="356"/>
      <c r="V35" s="356"/>
      <c r="W35" s="159">
        <v>2021</v>
      </c>
      <c r="X35" s="159">
        <v>2021</v>
      </c>
      <c r="Y35" s="356"/>
      <c r="Z35" s="356"/>
      <c r="AA35" s="159">
        <v>2021</v>
      </c>
      <c r="AB35" s="159">
        <v>2021</v>
      </c>
    </row>
    <row r="36" spans="1:28" x14ac:dyDescent="0.15">
      <c r="B36" s="307" t="s">
        <v>257</v>
      </c>
      <c r="C36" s="307"/>
      <c r="D36" s="82">
        <f>C34+D34</f>
        <v>59696542550.119995</v>
      </c>
      <c r="E36" s="82">
        <f>D36/7</f>
        <v>8528077507.1599989</v>
      </c>
      <c r="H36" s="149" t="s">
        <v>8</v>
      </c>
      <c r="I36" s="90" t="s">
        <v>93</v>
      </c>
      <c r="J36" s="91">
        <v>4.7289829999999998E-2</v>
      </c>
      <c r="K36" s="160">
        <v>8.3671000000000006E-3</v>
      </c>
      <c r="L36" s="111">
        <f t="shared" si="12"/>
        <v>95340864.059549928</v>
      </c>
      <c r="M36" s="133">
        <v>5.4193560000000002E-2</v>
      </c>
      <c r="N36" s="161">
        <f t="shared" si="13"/>
        <v>15056892.038748175</v>
      </c>
      <c r="O36" s="133">
        <v>0</v>
      </c>
      <c r="P36" s="161">
        <f t="shared" si="14"/>
        <v>0</v>
      </c>
      <c r="Q36" s="133">
        <v>1.2452000000000001E-2</v>
      </c>
      <c r="R36" s="111">
        <f t="shared" si="15"/>
        <v>29891004.50161409</v>
      </c>
      <c r="S36" s="93">
        <f t="shared" si="16"/>
        <v>44947896.540362269</v>
      </c>
      <c r="U36" s="149" t="s">
        <v>90</v>
      </c>
      <c r="V36" s="98" t="s">
        <v>91</v>
      </c>
      <c r="W36" s="82">
        <f>L34</f>
        <v>73744825.795684621</v>
      </c>
      <c r="X36" s="111">
        <f>S34</f>
        <v>14917246.385712728</v>
      </c>
      <c r="Y36" s="149" t="s">
        <v>16</v>
      </c>
      <c r="Z36" s="98" t="s">
        <v>109</v>
      </c>
      <c r="AA36" s="82">
        <f t="shared" ref="AA36:AA48" si="17">L48</f>
        <v>83055888.130562857</v>
      </c>
      <c r="AB36" s="111">
        <f t="shared" ref="AB36:AB48" si="18">S48</f>
        <v>87264871.089086115</v>
      </c>
    </row>
    <row r="37" spans="1:28" x14ac:dyDescent="0.15">
      <c r="B37" s="307" t="s">
        <v>258</v>
      </c>
      <c r="C37" s="307"/>
      <c r="D37" s="82">
        <f>C34+D34+E34</f>
        <v>129656542550.12</v>
      </c>
      <c r="E37" s="82">
        <f>D37/7</f>
        <v>18522363221.445713</v>
      </c>
      <c r="H37" s="149" t="s">
        <v>9</v>
      </c>
      <c r="I37" s="90" t="s">
        <v>94</v>
      </c>
      <c r="J37" s="91">
        <v>3.987313E-2</v>
      </c>
      <c r="K37" s="160">
        <v>2.0324000000000002E-3</v>
      </c>
      <c r="L37" s="111">
        <f t="shared" si="12"/>
        <v>75736702.214155689</v>
      </c>
      <c r="M37" s="133">
        <v>2.752688E-2</v>
      </c>
      <c r="N37" s="161">
        <f t="shared" si="13"/>
        <v>7647943.0456972448</v>
      </c>
      <c r="O37" s="133">
        <v>0</v>
      </c>
      <c r="P37" s="161">
        <f t="shared" si="14"/>
        <v>0</v>
      </c>
      <c r="Q37" s="133">
        <v>1.392E-3</v>
      </c>
      <c r="R37" s="111">
        <f t="shared" si="15"/>
        <v>3341493.5967111154</v>
      </c>
      <c r="S37" s="93">
        <f t="shared" si="16"/>
        <v>10989436.64240836</v>
      </c>
      <c r="U37" s="149" t="s">
        <v>4</v>
      </c>
      <c r="V37" s="98" t="s">
        <v>92</v>
      </c>
      <c r="W37" s="82">
        <f t="shared" ref="W37:W49" si="19">L35</f>
        <v>96190688.606513083</v>
      </c>
      <c r="X37" s="111">
        <f t="shared" ref="X37:X49" si="20">S35</f>
        <v>63107742.884237044</v>
      </c>
      <c r="Y37" s="149" t="s">
        <v>17</v>
      </c>
      <c r="Z37" s="98" t="s">
        <v>110</v>
      </c>
      <c r="AA37" s="82">
        <f t="shared" si="17"/>
        <v>124017909.17115781</v>
      </c>
      <c r="AB37" s="111">
        <f t="shared" si="18"/>
        <v>134250665.74883178</v>
      </c>
    </row>
    <row r="38" spans="1:28" x14ac:dyDescent="0.15">
      <c r="C38" s="113"/>
      <c r="H38" s="149" t="s">
        <v>10</v>
      </c>
      <c r="I38" s="90" t="s">
        <v>95</v>
      </c>
      <c r="J38" s="91">
        <v>8.4141960000000002E-2</v>
      </c>
      <c r="K38" s="162">
        <v>3.8618399999999997E-2</v>
      </c>
      <c r="L38" s="111">
        <f t="shared" si="12"/>
        <v>191615996.1199896</v>
      </c>
      <c r="M38" s="133">
        <v>7.7419360000000007E-2</v>
      </c>
      <c r="N38" s="161">
        <f t="shared" si="13"/>
        <v>21509842.594377987</v>
      </c>
      <c r="O38" s="133">
        <v>0.11102544</v>
      </c>
      <c r="P38" s="161">
        <f t="shared" si="14"/>
        <v>11104849.04310447</v>
      </c>
      <c r="Q38" s="133">
        <v>9.2695000000000013E-2</v>
      </c>
      <c r="R38" s="111">
        <f t="shared" si="15"/>
        <v>222514187.46202362</v>
      </c>
      <c r="S38" s="93">
        <f t="shared" si="16"/>
        <v>255128879.09950608</v>
      </c>
      <c r="U38" s="149" t="s">
        <v>8</v>
      </c>
      <c r="V38" s="98" t="s">
        <v>93</v>
      </c>
      <c r="W38" s="82">
        <f t="shared" si="19"/>
        <v>95340864.059549928</v>
      </c>
      <c r="X38" s="111">
        <f t="shared" si="20"/>
        <v>44947896.540362269</v>
      </c>
      <c r="Y38" s="149" t="s">
        <v>111</v>
      </c>
      <c r="Z38" s="98" t="s">
        <v>112</v>
      </c>
      <c r="AA38" s="82">
        <f t="shared" si="17"/>
        <v>86457668.315087125</v>
      </c>
      <c r="AB38" s="111">
        <f t="shared" si="18"/>
        <v>73870639.28126885</v>
      </c>
    </row>
    <row r="39" spans="1:28" x14ac:dyDescent="0.15">
      <c r="B39" s="309"/>
      <c r="C39" s="334"/>
      <c r="D39" s="151" t="s">
        <v>126</v>
      </c>
      <c r="E39" s="151" t="s">
        <v>127</v>
      </c>
      <c r="H39" s="149" t="s">
        <v>11</v>
      </c>
      <c r="I39" s="90" t="s">
        <v>96</v>
      </c>
      <c r="J39" s="91">
        <v>6.247291E-2</v>
      </c>
      <c r="K39" s="162">
        <v>8.5763999999999996E-3</v>
      </c>
      <c r="L39" s="111">
        <f t="shared" si="12"/>
        <v>123657352.84868917</v>
      </c>
      <c r="M39" s="133">
        <v>8.6021520000000004E-2</v>
      </c>
      <c r="N39" s="161">
        <f t="shared" si="13"/>
        <v>23899827.574512858</v>
      </c>
      <c r="O39" s="133">
        <v>4.1120520000000001E-2</v>
      </c>
      <c r="P39" s="161">
        <f t="shared" si="14"/>
        <v>4112905.7193915034</v>
      </c>
      <c r="Q39" s="133">
        <v>4.5864000000000002E-2</v>
      </c>
      <c r="R39" s="111">
        <f t="shared" si="15"/>
        <v>110096452.81577486</v>
      </c>
      <c r="S39" s="93">
        <f t="shared" si="16"/>
        <v>138109186.10967922</v>
      </c>
      <c r="U39" s="149" t="s">
        <v>9</v>
      </c>
      <c r="V39" s="98" t="s">
        <v>94</v>
      </c>
      <c r="W39" s="82">
        <f t="shared" si="19"/>
        <v>75736702.214155689</v>
      </c>
      <c r="X39" s="111">
        <f t="shared" si="20"/>
        <v>10989436.64240836</v>
      </c>
      <c r="Y39" s="149" t="s">
        <v>18</v>
      </c>
      <c r="Z39" s="98" t="s">
        <v>113</v>
      </c>
      <c r="AA39" s="82">
        <f t="shared" si="17"/>
        <v>129509308.28487271</v>
      </c>
      <c r="AB39" s="111">
        <f t="shared" si="18"/>
        <v>188124059.07337949</v>
      </c>
    </row>
    <row r="40" spans="1:28" x14ac:dyDescent="0.15">
      <c r="B40" s="307" t="s">
        <v>257</v>
      </c>
      <c r="C40" s="307"/>
      <c r="D40" s="82">
        <f>E36*0.15</f>
        <v>1279211626.0739999</v>
      </c>
      <c r="E40" s="82">
        <f>E36*0.15</f>
        <v>1279211626.0739999</v>
      </c>
      <c r="H40" s="149" t="s">
        <v>97</v>
      </c>
      <c r="I40" s="90" t="s">
        <v>98</v>
      </c>
      <c r="J40" s="91">
        <v>6.5853500000000002E-3</v>
      </c>
      <c r="K40" s="162">
        <v>4.0486999999999997E-3</v>
      </c>
      <c r="L40" s="111">
        <f t="shared" si="12"/>
        <v>15947199.062768117</v>
      </c>
      <c r="M40" s="133">
        <v>1.7204299999999999E-2</v>
      </c>
      <c r="N40" s="161">
        <f t="shared" si="13"/>
        <v>4779964.4035607772</v>
      </c>
      <c r="O40" s="133">
        <v>0</v>
      </c>
      <c r="P40" s="161">
        <f t="shared" si="14"/>
        <v>0</v>
      </c>
      <c r="Q40" s="133">
        <v>0</v>
      </c>
      <c r="R40" s="111">
        <f t="shared" si="15"/>
        <v>0</v>
      </c>
      <c r="S40" s="93">
        <f t="shared" si="16"/>
        <v>4779964.4035607772</v>
      </c>
      <c r="U40" s="149" t="s">
        <v>10</v>
      </c>
      <c r="V40" s="98" t="s">
        <v>95</v>
      </c>
      <c r="W40" s="82">
        <f t="shared" si="19"/>
        <v>191615996.1199896</v>
      </c>
      <c r="X40" s="111">
        <f t="shared" si="20"/>
        <v>255128879.09950608</v>
      </c>
      <c r="Y40" s="149" t="s">
        <v>19</v>
      </c>
      <c r="Z40" s="98" t="s">
        <v>114</v>
      </c>
      <c r="AA40" s="82">
        <f t="shared" si="17"/>
        <v>68709817.711746156</v>
      </c>
      <c r="AB40" s="111">
        <f t="shared" si="18"/>
        <v>84331559.219008446</v>
      </c>
    </row>
    <row r="41" spans="1:28" x14ac:dyDescent="0.15">
      <c r="B41" s="307" t="s">
        <v>258</v>
      </c>
      <c r="C41" s="307"/>
      <c r="D41" s="82">
        <f>E37*0.15</f>
        <v>2778354483.216857</v>
      </c>
      <c r="E41" s="82">
        <f>E37*0.15</f>
        <v>2778354483.216857</v>
      </c>
      <c r="H41" s="149" t="s">
        <v>12</v>
      </c>
      <c r="I41" s="90" t="s">
        <v>99</v>
      </c>
      <c r="J41" s="91">
        <v>1.902684E-2</v>
      </c>
      <c r="K41" s="160">
        <v>4.1594600000000002E-2</v>
      </c>
      <c r="L41" s="111">
        <f t="shared" si="12"/>
        <v>73763718.606170505</v>
      </c>
      <c r="M41" s="133">
        <v>2.0645159999999999E-2</v>
      </c>
      <c r="N41" s="161">
        <f t="shared" si="13"/>
        <v>5735957.2842729334</v>
      </c>
      <c r="O41" s="133">
        <v>3.08404E-2</v>
      </c>
      <c r="P41" s="161">
        <f t="shared" si="14"/>
        <v>3084680.2897512414</v>
      </c>
      <c r="Q41" s="133">
        <v>1.7595E-2</v>
      </c>
      <c r="R41" s="111">
        <f t="shared" si="15"/>
        <v>42236767.122221313</v>
      </c>
      <c r="S41" s="93">
        <f t="shared" si="16"/>
        <v>51057404.696245492</v>
      </c>
      <c r="U41" s="149" t="s">
        <v>11</v>
      </c>
      <c r="V41" s="98" t="s">
        <v>96</v>
      </c>
      <c r="W41" s="82">
        <f t="shared" si="19"/>
        <v>123657352.84868917</v>
      </c>
      <c r="X41" s="111">
        <f t="shared" si="20"/>
        <v>138109186.10967922</v>
      </c>
      <c r="Y41" s="149" t="s">
        <v>24</v>
      </c>
      <c r="Z41" s="98" t="s">
        <v>115</v>
      </c>
      <c r="AA41" s="82">
        <f t="shared" si="17"/>
        <v>73502331.016389459</v>
      </c>
      <c r="AB41" s="111">
        <f t="shared" si="18"/>
        <v>68844464.104858682</v>
      </c>
    </row>
    <row r="42" spans="1:28" x14ac:dyDescent="0.15">
      <c r="H42" s="149" t="s">
        <v>100</v>
      </c>
      <c r="I42" s="90" t="s">
        <v>101</v>
      </c>
      <c r="J42" s="91">
        <v>3.4509379999999999E-2</v>
      </c>
      <c r="K42" s="162">
        <v>4.9844899999999998E-2</v>
      </c>
      <c r="L42" s="111">
        <f t="shared" si="12"/>
        <v>110081794.2175214</v>
      </c>
      <c r="M42" s="133">
        <v>3.6129029999999999E-2</v>
      </c>
      <c r="N42" s="161">
        <f t="shared" si="13"/>
        <v>10037925.247477634</v>
      </c>
      <c r="O42" s="133">
        <v>3.7008480000000003E-2</v>
      </c>
      <c r="P42" s="161">
        <f t="shared" si="14"/>
        <v>3701616.3477014904</v>
      </c>
      <c r="Q42" s="133">
        <v>3.7317999999999997E-2</v>
      </c>
      <c r="R42" s="111">
        <f t="shared" si="15"/>
        <v>89581794.570449278</v>
      </c>
      <c r="S42" s="93">
        <f t="shared" si="16"/>
        <v>103321336.1656284</v>
      </c>
      <c r="U42" s="149" t="s">
        <v>97</v>
      </c>
      <c r="V42" s="98" t="s">
        <v>98</v>
      </c>
      <c r="W42" s="82">
        <f t="shared" si="19"/>
        <v>15947199.062768117</v>
      </c>
      <c r="X42" s="111">
        <f t="shared" si="20"/>
        <v>4779964.4035607772</v>
      </c>
      <c r="Y42" s="149" t="s">
        <v>116</v>
      </c>
      <c r="Z42" s="98" t="s">
        <v>117</v>
      </c>
      <c r="AA42" s="82">
        <f t="shared" si="17"/>
        <v>62694680.25558167</v>
      </c>
      <c r="AB42" s="111">
        <f t="shared" si="18"/>
        <v>24609269.278384343</v>
      </c>
    </row>
    <row r="43" spans="1:28" x14ac:dyDescent="0.15">
      <c r="H43" s="149" t="s">
        <v>13</v>
      </c>
      <c r="I43" s="90" t="s">
        <v>102</v>
      </c>
      <c r="J43" s="91">
        <v>6.8518739999999995E-2</v>
      </c>
      <c r="K43" s="160">
        <v>1.6931499999999999E-2</v>
      </c>
      <c r="L43" s="111">
        <f t="shared" si="12"/>
        <v>142593468.6197755</v>
      </c>
      <c r="M43" s="133">
        <v>5.3763440000000003E-2</v>
      </c>
      <c r="N43" s="161">
        <f t="shared" si="13"/>
        <v>14937389.455716053</v>
      </c>
      <c r="O43" s="133">
        <v>6.4250849999999998E-2</v>
      </c>
      <c r="P43" s="161">
        <f t="shared" si="14"/>
        <v>6426418.9373277761</v>
      </c>
      <c r="Q43" s="133">
        <v>3.9715E-2</v>
      </c>
      <c r="R43" s="111">
        <f t="shared" si="15"/>
        <v>95335788.932027251</v>
      </c>
      <c r="S43" s="93">
        <f t="shared" si="16"/>
        <v>116699597.32507108</v>
      </c>
      <c r="U43" s="149" t="s">
        <v>12</v>
      </c>
      <c r="V43" s="98" t="s">
        <v>99</v>
      </c>
      <c r="W43" s="82">
        <f t="shared" si="19"/>
        <v>73763718.606170505</v>
      </c>
      <c r="X43" s="111">
        <f t="shared" si="20"/>
        <v>51057404.696245492</v>
      </c>
      <c r="Y43" s="149" t="s">
        <v>118</v>
      </c>
      <c r="Z43" s="98" t="s">
        <v>119</v>
      </c>
      <c r="AA43" s="82">
        <f t="shared" si="17"/>
        <v>64713969.771620445</v>
      </c>
      <c r="AB43" s="111">
        <f t="shared" si="18"/>
        <v>13992735.039649904</v>
      </c>
    </row>
    <row r="44" spans="1:28" x14ac:dyDescent="0.15">
      <c r="H44" s="149" t="s">
        <v>14</v>
      </c>
      <c r="I44" s="90" t="s">
        <v>103</v>
      </c>
      <c r="J44" s="91">
        <v>5.1361169999999998E-2</v>
      </c>
      <c r="K44" s="162">
        <v>0.13147220000000001</v>
      </c>
      <c r="L44" s="111">
        <f t="shared" si="12"/>
        <v>216891816.71796983</v>
      </c>
      <c r="M44" s="133">
        <v>5.1612909999999998E-2</v>
      </c>
      <c r="N44" s="161">
        <f t="shared" si="13"/>
        <v>14339895.989036815</v>
      </c>
      <c r="O44" s="133">
        <v>9.8689280000000004E-2</v>
      </c>
      <c r="P44" s="161">
        <f t="shared" si="14"/>
        <v>9870976.9272039738</v>
      </c>
      <c r="Q44" s="133">
        <v>0.141846</v>
      </c>
      <c r="R44" s="111">
        <f t="shared" si="15"/>
        <v>340501078.10279083</v>
      </c>
      <c r="S44" s="93">
        <f t="shared" si="16"/>
        <v>364711951.01903164</v>
      </c>
      <c r="U44" s="149" t="s">
        <v>100</v>
      </c>
      <c r="V44" s="98" t="s">
        <v>101</v>
      </c>
      <c r="W44" s="82">
        <f t="shared" si="19"/>
        <v>110081794.2175214</v>
      </c>
      <c r="X44" s="111">
        <f t="shared" si="20"/>
        <v>103321336.1656284</v>
      </c>
      <c r="Y44" s="149" t="s">
        <v>20</v>
      </c>
      <c r="Z44" s="98" t="s">
        <v>120</v>
      </c>
      <c r="AA44" s="82">
        <f t="shared" si="17"/>
        <v>114708810.2067811</v>
      </c>
      <c r="AB44" s="111">
        <f t="shared" si="18"/>
        <v>187315416.77835557</v>
      </c>
    </row>
    <row r="45" spans="1:28" x14ac:dyDescent="0.15">
      <c r="H45" s="149" t="s">
        <v>104</v>
      </c>
      <c r="I45" s="90" t="s">
        <v>105</v>
      </c>
      <c r="J45" s="91">
        <v>1.5118889999999999E-2</v>
      </c>
      <c r="K45" s="162">
        <v>3.4342499999999998E-2</v>
      </c>
      <c r="L45" s="111">
        <f t="shared" si="12"/>
        <v>59808970.155133307</v>
      </c>
      <c r="M45" s="133">
        <v>1.548387E-2</v>
      </c>
      <c r="N45" s="161">
        <f t="shared" si="13"/>
        <v>4301967.9632047005</v>
      </c>
      <c r="O45" s="133">
        <v>4.6260600000000004E-3</v>
      </c>
      <c r="P45" s="161">
        <f t="shared" si="14"/>
        <v>462702.0434626863</v>
      </c>
      <c r="Q45" s="133">
        <v>1.5004E-2</v>
      </c>
      <c r="R45" s="111">
        <f t="shared" si="15"/>
        <v>36017076.09558446</v>
      </c>
      <c r="S45" s="93">
        <f t="shared" si="16"/>
        <v>40781746.102251843</v>
      </c>
      <c r="U45" s="149" t="s">
        <v>13</v>
      </c>
      <c r="V45" s="98" t="s">
        <v>102</v>
      </c>
      <c r="W45" s="82">
        <f t="shared" si="19"/>
        <v>142593468.6197755</v>
      </c>
      <c r="X45" s="111">
        <f t="shared" si="20"/>
        <v>116699597.32507108</v>
      </c>
      <c r="Y45" s="149" t="s">
        <v>21</v>
      </c>
      <c r="Z45" s="98" t="s">
        <v>121</v>
      </c>
      <c r="AA45" s="82">
        <f t="shared" si="17"/>
        <v>50778725.369055435</v>
      </c>
      <c r="AB45" s="111">
        <f t="shared" si="18"/>
        <v>108339310.86208008</v>
      </c>
    </row>
    <row r="46" spans="1:28" x14ac:dyDescent="0.15">
      <c r="A46" s="88" t="s">
        <v>270</v>
      </c>
      <c r="H46" s="149" t="s">
        <v>106</v>
      </c>
      <c r="I46" s="90" t="s">
        <v>107</v>
      </c>
      <c r="J46" s="91">
        <v>2.0727059999999999E-2</v>
      </c>
      <c r="K46" s="162">
        <v>0.1405363</v>
      </c>
      <c r="L46" s="111">
        <f t="shared" si="12"/>
        <v>168544633.10317293</v>
      </c>
      <c r="M46" s="133">
        <v>1.376344E-2</v>
      </c>
      <c r="N46" s="161">
        <f t="shared" si="13"/>
        <v>3823971.5228486224</v>
      </c>
      <c r="O46" s="133">
        <v>1.2336150000000001E-2</v>
      </c>
      <c r="P46" s="161">
        <f t="shared" si="14"/>
        <v>1233871.1156928828</v>
      </c>
      <c r="Q46" s="133">
        <v>1.8949000000000001E-2</v>
      </c>
      <c r="R46" s="111">
        <f t="shared" si="15"/>
        <v>45487041.784539454</v>
      </c>
      <c r="S46" s="93">
        <f t="shared" si="16"/>
        <v>50544884.423080958</v>
      </c>
      <c r="U46" s="149" t="s">
        <v>14</v>
      </c>
      <c r="V46" s="98" t="s">
        <v>103</v>
      </c>
      <c r="W46" s="82">
        <f t="shared" si="19"/>
        <v>216891816.71796983</v>
      </c>
      <c r="X46" s="111">
        <f t="shared" si="20"/>
        <v>364711951.01903164</v>
      </c>
      <c r="Y46" s="149" t="s">
        <v>25</v>
      </c>
      <c r="Z46" s="98" t="s">
        <v>122</v>
      </c>
      <c r="AA46" s="82">
        <f t="shared" si="17"/>
        <v>70515118.36548759</v>
      </c>
      <c r="AB46" s="111">
        <f t="shared" si="18"/>
        <v>41556787.97836329</v>
      </c>
    </row>
    <row r="47" spans="1:28" x14ac:dyDescent="0.15">
      <c r="A47" s="88" t="s">
        <v>269</v>
      </c>
      <c r="H47" s="149" t="s">
        <v>15</v>
      </c>
      <c r="I47" s="90" t="s">
        <v>108</v>
      </c>
      <c r="J47" s="91">
        <v>6.5267220000000001E-2</v>
      </c>
      <c r="K47" s="162">
        <v>5.8891399999999997E-2</v>
      </c>
      <c r="L47" s="111">
        <f t="shared" si="12"/>
        <v>175430710.600373</v>
      </c>
      <c r="M47" s="133">
        <v>4.6451609999999997E-2</v>
      </c>
      <c r="N47" s="161">
        <f t="shared" si="13"/>
        <v>12905903.8896141</v>
      </c>
      <c r="O47" s="133">
        <v>5.5512720000000002E-2</v>
      </c>
      <c r="P47" s="161">
        <f t="shared" si="14"/>
        <v>5552424.5215522349</v>
      </c>
      <c r="Q47" s="133">
        <v>3.2947999999999998E-2</v>
      </c>
      <c r="R47" s="111">
        <f t="shared" si="15"/>
        <v>79091617.115257055</v>
      </c>
      <c r="S47" s="93">
        <f t="shared" si="16"/>
        <v>97549945.526423395</v>
      </c>
      <c r="U47" s="149" t="s">
        <v>104</v>
      </c>
      <c r="V47" s="98" t="s">
        <v>105</v>
      </c>
      <c r="W47" s="82">
        <f t="shared" si="19"/>
        <v>59808970.155133307</v>
      </c>
      <c r="X47" s="111">
        <f t="shared" si="20"/>
        <v>40781746.102251843</v>
      </c>
      <c r="Y47" s="149" t="s">
        <v>22</v>
      </c>
      <c r="Z47" s="98" t="s">
        <v>123</v>
      </c>
      <c r="AA47" s="82">
        <f t="shared" si="17"/>
        <v>159664363.89209908</v>
      </c>
      <c r="AB47" s="111">
        <f t="shared" si="18"/>
        <v>370697325.74176425</v>
      </c>
    </row>
    <row r="48" spans="1:28" x14ac:dyDescent="0.15">
      <c r="H48" s="149" t="s">
        <v>16</v>
      </c>
      <c r="I48" s="90" t="s">
        <v>109</v>
      </c>
      <c r="J48" s="91">
        <v>4.3835220000000001E-2</v>
      </c>
      <c r="K48" s="162">
        <v>2.0113000000000002E-3</v>
      </c>
      <c r="L48" s="111">
        <f t="shared" si="12"/>
        <v>83055888.130562857</v>
      </c>
      <c r="M48" s="133">
        <v>3.4408599999999998E-2</v>
      </c>
      <c r="N48" s="161">
        <f t="shared" si="13"/>
        <v>9559928.8071215544</v>
      </c>
      <c r="O48" s="133">
        <v>1.028013E-2</v>
      </c>
      <c r="P48" s="161">
        <f t="shared" si="14"/>
        <v>1028226.4298478758</v>
      </c>
      <c r="Q48" s="133">
        <v>3.1941999999999998E-2</v>
      </c>
      <c r="R48" s="111">
        <f t="shared" si="15"/>
        <v>76676715.852116689</v>
      </c>
      <c r="S48" s="93">
        <f t="shared" si="16"/>
        <v>87264871.089086115</v>
      </c>
      <c r="U48" s="149" t="s">
        <v>106</v>
      </c>
      <c r="V48" s="98" t="s">
        <v>107</v>
      </c>
      <c r="W48" s="82">
        <f t="shared" si="19"/>
        <v>168544633.10317293</v>
      </c>
      <c r="X48" s="111">
        <f t="shared" si="20"/>
        <v>50544884.423080958</v>
      </c>
      <c r="Y48" s="149" t="s">
        <v>124</v>
      </c>
      <c r="Z48" s="98" t="s">
        <v>125</v>
      </c>
      <c r="AA48" s="82">
        <f t="shared" si="17"/>
        <v>70677151.998948798</v>
      </c>
      <c r="AB48" s="111">
        <f t="shared" si="18"/>
        <v>38510161.698626883</v>
      </c>
    </row>
    <row r="49" spans="8:28" x14ac:dyDescent="0.15">
      <c r="H49" s="149" t="s">
        <v>17</v>
      </c>
      <c r="I49" s="90" t="s">
        <v>110</v>
      </c>
      <c r="J49" s="91">
        <v>6.3232819999999995E-2</v>
      </c>
      <c r="K49" s="162">
        <v>7.4459000000000001E-3</v>
      </c>
      <c r="L49" s="111">
        <f t="shared" si="12"/>
        <v>124017909.17115781</v>
      </c>
      <c r="M49" s="133">
        <v>4.8172039999999999E-2</v>
      </c>
      <c r="N49" s="161">
        <f t="shared" si="13"/>
        <v>13383900.329970177</v>
      </c>
      <c r="O49" s="133">
        <v>5.7568769999999998E-2</v>
      </c>
      <c r="P49" s="161">
        <f t="shared" si="14"/>
        <v>5758072.2080200836</v>
      </c>
      <c r="Q49" s="133">
        <v>4.7952000000000002E-2</v>
      </c>
      <c r="R49" s="111">
        <f t="shared" si="15"/>
        <v>115108693.21084152</v>
      </c>
      <c r="S49" s="93">
        <f t="shared" si="16"/>
        <v>134250665.74883178</v>
      </c>
      <c r="U49" s="149" t="s">
        <v>15</v>
      </c>
      <c r="V49" s="98" t="s">
        <v>108</v>
      </c>
      <c r="W49" s="82">
        <f t="shared" si="19"/>
        <v>175430710.600373</v>
      </c>
      <c r="X49" s="111">
        <f t="shared" si="20"/>
        <v>97549945.526423395</v>
      </c>
      <c r="Y49" s="351" t="s">
        <v>28</v>
      </c>
      <c r="Z49" s="352"/>
      <c r="AA49" s="163">
        <f>SUM(W36:W49)+SUM(AA36:AA48)</f>
        <v>2778354483.216857</v>
      </c>
      <c r="AB49" s="163">
        <f>SUM(X36:X49)+SUM(AB36:AB48)</f>
        <v>2778354483.216857</v>
      </c>
    </row>
    <row r="50" spans="8:28" x14ac:dyDescent="0.15">
      <c r="H50" s="149" t="s">
        <v>111</v>
      </c>
      <c r="I50" s="90" t="s">
        <v>112</v>
      </c>
      <c r="J50" s="91">
        <v>4.4624150000000001E-2</v>
      </c>
      <c r="K50" s="162">
        <v>4.1066000000000002E-3</v>
      </c>
      <c r="L50" s="111">
        <f t="shared" si="12"/>
        <v>86457668.315087125</v>
      </c>
      <c r="M50" s="133">
        <v>5.3763440000000003E-2</v>
      </c>
      <c r="N50" s="161">
        <f t="shared" si="13"/>
        <v>14937389.455716053</v>
      </c>
      <c r="O50" s="133">
        <v>1.2850169999999999E-2</v>
      </c>
      <c r="P50" s="161">
        <f t="shared" si="14"/>
        <v>1285283.7874655551</v>
      </c>
      <c r="Q50" s="133">
        <v>2.4015000000000002E-2</v>
      </c>
      <c r="R50" s="111">
        <f t="shared" si="15"/>
        <v>57647966.038087241</v>
      </c>
      <c r="S50" s="93">
        <f t="shared" si="16"/>
        <v>73870639.28126885</v>
      </c>
    </row>
    <row r="51" spans="8:28" x14ac:dyDescent="0.15">
      <c r="H51" s="149" t="s">
        <v>18</v>
      </c>
      <c r="I51" s="90" t="s">
        <v>113</v>
      </c>
      <c r="J51" s="91">
        <v>2.5740260000000001E-2</v>
      </c>
      <c r="K51" s="162">
        <v>8.8360499999999995E-2</v>
      </c>
      <c r="L51" s="111">
        <f t="shared" si="12"/>
        <v>129509308.28487271</v>
      </c>
      <c r="M51" s="133">
        <v>3.0967740000000001E-2</v>
      </c>
      <c r="N51" s="161">
        <f t="shared" si="13"/>
        <v>8603935.926409401</v>
      </c>
      <c r="O51" s="133">
        <v>4.6260600000000006E-2</v>
      </c>
      <c r="P51" s="161">
        <f t="shared" si="14"/>
        <v>4627020.4346268633</v>
      </c>
      <c r="Q51" s="133">
        <v>7.2857000000000005E-2</v>
      </c>
      <c r="R51" s="111">
        <f t="shared" si="15"/>
        <v>174893102.71234322</v>
      </c>
      <c r="S51" s="93">
        <f t="shared" si="16"/>
        <v>188124059.07337949</v>
      </c>
    </row>
    <row r="52" spans="8:28" x14ac:dyDescent="0.15">
      <c r="H52" s="149" t="s">
        <v>19</v>
      </c>
      <c r="I52" s="90" t="s">
        <v>114</v>
      </c>
      <c r="J52" s="91">
        <v>1.2666449999999999E-2</v>
      </c>
      <c r="K52" s="160">
        <v>4.88583E-2</v>
      </c>
      <c r="L52" s="111">
        <f t="shared" si="12"/>
        <v>68709817.711746156</v>
      </c>
      <c r="M52" s="141">
        <v>3.4408599999999998E-2</v>
      </c>
      <c r="N52" s="161">
        <f t="shared" si="13"/>
        <v>9559928.8071215544</v>
      </c>
      <c r="O52" s="133">
        <v>9.0465099999999993E-2</v>
      </c>
      <c r="P52" s="161">
        <f t="shared" si="14"/>
        <v>9048388.1817478053</v>
      </c>
      <c r="Q52" s="133">
        <v>2.7378999999999997E-2</v>
      </c>
      <c r="R52" s="111">
        <f t="shared" si="15"/>
        <v>65723242.230139092</v>
      </c>
      <c r="S52" s="93">
        <f t="shared" si="16"/>
        <v>84331559.219008446</v>
      </c>
    </row>
    <row r="53" spans="8:28" x14ac:dyDescent="0.15">
      <c r="H53" s="149" t="s">
        <v>24</v>
      </c>
      <c r="I53" s="90" t="s">
        <v>115</v>
      </c>
      <c r="J53" s="91">
        <v>3.7658919999999999E-2</v>
      </c>
      <c r="K53" s="160">
        <v>4.0482000000000001E-3</v>
      </c>
      <c r="L53" s="111">
        <f t="shared" si="12"/>
        <v>73502331.016389459</v>
      </c>
      <c r="M53" s="133">
        <v>3.0967740000000001E-2</v>
      </c>
      <c r="N53" s="161">
        <f t="shared" si="13"/>
        <v>8603935.926409401</v>
      </c>
      <c r="O53" s="133">
        <v>1.8504240000000002E-2</v>
      </c>
      <c r="P53" s="161">
        <f t="shared" si="14"/>
        <v>1850808.1738507452</v>
      </c>
      <c r="Q53" s="133">
        <v>2.4323999999999998E-2</v>
      </c>
      <c r="R53" s="111">
        <f t="shared" si="15"/>
        <v>58389720.004598536</v>
      </c>
      <c r="S53" s="93">
        <f t="shared" si="16"/>
        <v>68844464.104858682</v>
      </c>
    </row>
    <row r="54" spans="8:28" x14ac:dyDescent="0.15">
      <c r="H54" s="149" t="s">
        <v>116</v>
      </c>
      <c r="I54" s="90" t="s">
        <v>117</v>
      </c>
      <c r="J54" s="91">
        <v>2.9820200000000002E-2</v>
      </c>
      <c r="K54" s="160">
        <v>8.0558000000000001E-3</v>
      </c>
      <c r="L54" s="111">
        <f t="shared" si="12"/>
        <v>62694680.25558167</v>
      </c>
      <c r="M54" s="133">
        <v>2.408602E-2</v>
      </c>
      <c r="N54" s="161">
        <f t="shared" si="13"/>
        <v>6691950.1649850886</v>
      </c>
      <c r="O54" s="133">
        <v>0</v>
      </c>
      <c r="P54" s="161">
        <f t="shared" si="14"/>
        <v>0</v>
      </c>
      <c r="Q54" s="133">
        <v>7.4640000000000001E-3</v>
      </c>
      <c r="R54" s="111">
        <f t="shared" si="15"/>
        <v>17917319.113399256</v>
      </c>
      <c r="S54" s="93">
        <f t="shared" si="16"/>
        <v>24609269.278384343</v>
      </c>
    </row>
    <row r="55" spans="8:28" x14ac:dyDescent="0.15">
      <c r="H55" s="149" t="s">
        <v>118</v>
      </c>
      <c r="I55" s="90" t="s">
        <v>119</v>
      </c>
      <c r="J55" s="91">
        <v>3.4815939999999997E-2</v>
      </c>
      <c r="K55" s="162">
        <v>2.4469999999999998E-4</v>
      </c>
      <c r="L55" s="111">
        <f t="shared" si="12"/>
        <v>64713969.771620445</v>
      </c>
      <c r="M55" s="133">
        <v>4.301075E-2</v>
      </c>
      <c r="N55" s="161">
        <f t="shared" si="13"/>
        <v>11949911.008901944</v>
      </c>
      <c r="O55" s="133">
        <v>0</v>
      </c>
      <c r="P55" s="161">
        <f t="shared" si="14"/>
        <v>0</v>
      </c>
      <c r="Q55" s="133">
        <v>8.5099999999999998E-4</v>
      </c>
      <c r="R55" s="111">
        <f t="shared" si="15"/>
        <v>2042824.0307479589</v>
      </c>
      <c r="S55" s="93">
        <f t="shared" si="16"/>
        <v>13992735.039649904</v>
      </c>
    </row>
    <row r="56" spans="8:28" x14ac:dyDescent="0.15">
      <c r="H56" s="149" t="s">
        <v>20</v>
      </c>
      <c r="I56" s="90" t="s">
        <v>120</v>
      </c>
      <c r="J56" s="91">
        <v>1.2586750000000001E-2</v>
      </c>
      <c r="K56" s="160">
        <v>9.8686300000000005E-2</v>
      </c>
      <c r="L56" s="111">
        <f t="shared" si="12"/>
        <v>114708810.2067811</v>
      </c>
      <c r="M56" s="133">
        <v>2.7096769999999999E-2</v>
      </c>
      <c r="N56" s="161">
        <f t="shared" si="13"/>
        <v>7528443.2410196038</v>
      </c>
      <c r="O56" s="133">
        <v>4.5232549999999996E-2</v>
      </c>
      <c r="P56" s="161">
        <f t="shared" si="14"/>
        <v>4524194.0908739027</v>
      </c>
      <c r="Q56" s="133">
        <v>7.3010999999999993E-2</v>
      </c>
      <c r="R56" s="111">
        <f t="shared" si="15"/>
        <v>175262779.44646206</v>
      </c>
      <c r="S56" s="93">
        <f t="shared" si="16"/>
        <v>187315416.77835557</v>
      </c>
    </row>
    <row r="57" spans="8:28" x14ac:dyDescent="0.15">
      <c r="H57" s="149" t="s">
        <v>21</v>
      </c>
      <c r="I57" s="90" t="s">
        <v>121</v>
      </c>
      <c r="J57" s="91">
        <v>1.224127E-2</v>
      </c>
      <c r="K57" s="162">
        <v>3.0347099999999998E-2</v>
      </c>
      <c r="L57" s="111">
        <f t="shared" si="12"/>
        <v>50778725.369055435</v>
      </c>
      <c r="M57" s="133">
        <v>1.376344E-2</v>
      </c>
      <c r="N57" s="161">
        <f t="shared" si="13"/>
        <v>3823971.5228486224</v>
      </c>
      <c r="O57" s="133">
        <v>3.7008449999999998E-2</v>
      </c>
      <c r="P57" s="161">
        <f t="shared" si="14"/>
        <v>3701613.3470786479</v>
      </c>
      <c r="Q57" s="133">
        <v>4.1997E-2</v>
      </c>
      <c r="R57" s="111">
        <f t="shared" si="15"/>
        <v>100813725.99215281</v>
      </c>
      <c r="S57" s="93">
        <f t="shared" si="16"/>
        <v>108339310.86208008</v>
      </c>
    </row>
    <row r="58" spans="8:28" x14ac:dyDescent="0.15">
      <c r="H58" s="149" t="s">
        <v>25</v>
      </c>
      <c r="I58" s="90" t="s">
        <v>122</v>
      </c>
      <c r="J58" s="91">
        <v>3.6762309999999999E-2</v>
      </c>
      <c r="K58" s="160">
        <v>2.6159E-3</v>
      </c>
      <c r="L58" s="111">
        <f t="shared" si="12"/>
        <v>70515118.36548759</v>
      </c>
      <c r="M58" s="133">
        <v>3.0967740000000001E-2</v>
      </c>
      <c r="N58" s="161">
        <f t="shared" si="13"/>
        <v>8603935.926409401</v>
      </c>
      <c r="O58" s="133">
        <v>9.2521200000000008E-3</v>
      </c>
      <c r="P58" s="161">
        <f t="shared" si="14"/>
        <v>925404.0869253726</v>
      </c>
      <c r="Q58" s="133">
        <v>1.3342E-2</v>
      </c>
      <c r="R58" s="111">
        <f t="shared" si="15"/>
        <v>32027447.965028517</v>
      </c>
      <c r="S58" s="93">
        <f t="shared" si="16"/>
        <v>41556787.97836329</v>
      </c>
    </row>
    <row r="59" spans="8:28" x14ac:dyDescent="0.15">
      <c r="H59" s="149" t="s">
        <v>22</v>
      </c>
      <c r="I59" s="90" t="s">
        <v>123</v>
      </c>
      <c r="J59" s="91">
        <v>8.3463600000000006E-3</v>
      </c>
      <c r="K59" s="160">
        <v>0.15570899999999999</v>
      </c>
      <c r="L59" s="111">
        <f t="shared" si="12"/>
        <v>159664363.89209908</v>
      </c>
      <c r="M59" s="133">
        <v>3.010753E-2</v>
      </c>
      <c r="N59" s="161">
        <f t="shared" si="13"/>
        <v>8364939.0954086026</v>
      </c>
      <c r="O59" s="133">
        <v>0.19969176999999999</v>
      </c>
      <c r="P59" s="161">
        <f t="shared" si="14"/>
        <v>19973322.879876338</v>
      </c>
      <c r="Q59" s="133">
        <v>0.14262</v>
      </c>
      <c r="R59" s="111">
        <f t="shared" si="15"/>
        <v>342359063.76647931</v>
      </c>
      <c r="S59" s="93">
        <f t="shared" si="16"/>
        <v>370697325.74176425</v>
      </c>
    </row>
    <row r="60" spans="8:28" x14ac:dyDescent="0.15">
      <c r="H60" s="149" t="s">
        <v>124</v>
      </c>
      <c r="I60" s="90" t="s">
        <v>125</v>
      </c>
      <c r="J60" s="91">
        <v>3.4123189999999998E-2</v>
      </c>
      <c r="K60" s="160">
        <v>8.0690999999999992E-3</v>
      </c>
      <c r="L60" s="111">
        <f t="shared" si="12"/>
        <v>70677151.998948798</v>
      </c>
      <c r="M60" s="133">
        <v>2.408602E-2</v>
      </c>
      <c r="N60" s="161">
        <f t="shared" si="13"/>
        <v>6691950.1649850886</v>
      </c>
      <c r="O60" s="133">
        <v>7.1960699999999997E-3</v>
      </c>
      <c r="P60" s="161">
        <f t="shared" si="14"/>
        <v>719756.40045752376</v>
      </c>
      <c r="Q60" s="133">
        <v>1.2955000000000001E-2</v>
      </c>
      <c r="R60" s="111">
        <f t="shared" si="15"/>
        <v>31098455.133184269</v>
      </c>
      <c r="S60" s="93">
        <f t="shared" si="16"/>
        <v>38510161.698626883</v>
      </c>
    </row>
    <row r="61" spans="8:28" x14ac:dyDescent="0.15">
      <c r="J61" s="146">
        <f t="shared" ref="J61:S61" si="21">SUM(J34:J60)</f>
        <v>0.99999999999999956</v>
      </c>
      <c r="K61" s="162">
        <f t="shared" si="21"/>
        <v>0.99999999999999989</v>
      </c>
      <c r="L61" s="82">
        <f t="shared" si="21"/>
        <v>2778354483.2168565</v>
      </c>
      <c r="M61" s="165">
        <f t="shared" si="21"/>
        <v>1</v>
      </c>
      <c r="N61" s="93">
        <f t="shared" si="21"/>
        <v>277835448.32168573</v>
      </c>
      <c r="O61" s="165">
        <f t="shared" si="21"/>
        <v>0.99999999999999978</v>
      </c>
      <c r="P61" s="93">
        <f t="shared" si="21"/>
        <v>100020761.39580685</v>
      </c>
      <c r="Q61" s="165">
        <f t="shared" si="21"/>
        <v>1</v>
      </c>
      <c r="R61" s="93">
        <f t="shared" si="21"/>
        <v>2400498273.4993644</v>
      </c>
      <c r="S61" s="166">
        <f t="shared" si="21"/>
        <v>2778354483.216857</v>
      </c>
    </row>
    <row r="65" spans="8:13" x14ac:dyDescent="0.15">
      <c r="H65" s="353" t="s">
        <v>76</v>
      </c>
      <c r="I65" s="354"/>
      <c r="J65" s="354"/>
      <c r="K65" s="354"/>
      <c r="L65" s="354"/>
      <c r="M65" s="355"/>
    </row>
    <row r="66" spans="8:13" x14ac:dyDescent="0.15">
      <c r="H66" s="285" t="s">
        <v>163</v>
      </c>
      <c r="I66" s="285"/>
      <c r="J66" s="151" t="s">
        <v>259</v>
      </c>
      <c r="K66" s="151" t="s">
        <v>203</v>
      </c>
      <c r="L66" s="151" t="s">
        <v>257</v>
      </c>
      <c r="M66" s="151" t="s">
        <v>258</v>
      </c>
    </row>
    <row r="67" spans="8:13" x14ac:dyDescent="0.15">
      <c r="H67" s="98" t="str">
        <f>H3</f>
        <v>AC</v>
      </c>
      <c r="I67" s="98" t="str">
        <f>I3</f>
        <v>Acre</v>
      </c>
      <c r="J67" s="146">
        <f>J3</f>
        <v>3.9530589999999997E-2</v>
      </c>
      <c r="K67" s="162">
        <f>K3</f>
        <v>5.6669999999999995E-4</v>
      </c>
      <c r="L67" s="82">
        <f>L3</f>
        <v>33953636.61854177</v>
      </c>
      <c r="M67" s="82">
        <f>L34</f>
        <v>73744825.795684621</v>
      </c>
    </row>
    <row r="68" spans="8:13" x14ac:dyDescent="0.15">
      <c r="H68" s="98" t="str">
        <f t="shared" ref="H68:L68" si="22">H4</f>
        <v>AL</v>
      </c>
      <c r="I68" s="98" t="str">
        <f t="shared" si="22"/>
        <v>Alagoas</v>
      </c>
      <c r="J68" s="146">
        <f t="shared" si="22"/>
        <v>4.9123090000000001E-2</v>
      </c>
      <c r="K68" s="162">
        <f t="shared" si="22"/>
        <v>5.6182000000000003E-3</v>
      </c>
      <c r="L68" s="82">
        <f t="shared" si="22"/>
        <v>44288174.143655941</v>
      </c>
      <c r="M68" s="82">
        <f t="shared" ref="M68:M93" si="23">L35</f>
        <v>96190688.606513083</v>
      </c>
    </row>
    <row r="69" spans="8:13" x14ac:dyDescent="0.15">
      <c r="H69" s="98" t="str">
        <f t="shared" ref="H69:L69" si="24">H5</f>
        <v>AM</v>
      </c>
      <c r="I69" s="98" t="str">
        <f t="shared" si="24"/>
        <v>Amazonas</v>
      </c>
      <c r="J69" s="146">
        <f t="shared" si="24"/>
        <v>4.7289829999999998E-2</v>
      </c>
      <c r="K69" s="162">
        <f t="shared" si="24"/>
        <v>8.3671000000000006E-3</v>
      </c>
      <c r="L69" s="82">
        <f t="shared" si="24"/>
        <v>43896897.419549935</v>
      </c>
      <c r="M69" s="82">
        <f t="shared" si="23"/>
        <v>95340864.059549928</v>
      </c>
    </row>
    <row r="70" spans="8:13" x14ac:dyDescent="0.15">
      <c r="H70" s="98" t="str">
        <f t="shared" ref="H70:L70" si="25">H6</f>
        <v>AP</v>
      </c>
      <c r="I70" s="98" t="str">
        <f t="shared" si="25"/>
        <v>Amapá</v>
      </c>
      <c r="J70" s="146">
        <f t="shared" si="25"/>
        <v>3.987313E-2</v>
      </c>
      <c r="K70" s="162">
        <f t="shared" si="25"/>
        <v>2.0324000000000002E-3</v>
      </c>
      <c r="L70" s="82">
        <f t="shared" si="25"/>
        <v>34870737.545584254</v>
      </c>
      <c r="M70" s="82">
        <f t="shared" si="23"/>
        <v>75736702.214155689</v>
      </c>
    </row>
    <row r="71" spans="8:13" x14ac:dyDescent="0.15">
      <c r="H71" s="98" t="str">
        <f t="shared" ref="H71:L71" si="26">H7</f>
        <v>BA</v>
      </c>
      <c r="I71" s="98" t="str">
        <f t="shared" si="26"/>
        <v>Bahia</v>
      </c>
      <c r="J71" s="146">
        <f t="shared" si="26"/>
        <v>8.4141960000000002E-2</v>
      </c>
      <c r="K71" s="162">
        <f t="shared" si="26"/>
        <v>3.8618399999999997E-2</v>
      </c>
      <c r="L71" s="82">
        <f t="shared" si="26"/>
        <v>88223951.068561018</v>
      </c>
      <c r="M71" s="82">
        <f t="shared" si="23"/>
        <v>191615996.1199896</v>
      </c>
    </row>
    <row r="72" spans="8:13" x14ac:dyDescent="0.15">
      <c r="H72" s="98" t="str">
        <f t="shared" ref="H72:L72" si="27">H8</f>
        <v>CE</v>
      </c>
      <c r="I72" s="98" t="str">
        <f t="shared" si="27"/>
        <v>Ceará</v>
      </c>
      <c r="J72" s="146">
        <f t="shared" si="27"/>
        <v>6.247291E-2</v>
      </c>
      <c r="K72" s="162">
        <f t="shared" si="27"/>
        <v>8.5763999999999996E-3</v>
      </c>
      <c r="L72" s="82">
        <f t="shared" si="27"/>
        <v>56934392.054403447</v>
      </c>
      <c r="M72" s="82">
        <f t="shared" si="23"/>
        <v>123657352.84868917</v>
      </c>
    </row>
    <row r="73" spans="8:13" x14ac:dyDescent="0.15">
      <c r="H73" s="98" t="str">
        <f t="shared" ref="H73:L73" si="28">H9</f>
        <v>DF</v>
      </c>
      <c r="I73" s="98" t="str">
        <f t="shared" si="28"/>
        <v>Distrito Federal</v>
      </c>
      <c r="J73" s="146">
        <f t="shared" si="28"/>
        <v>6.5853500000000002E-3</v>
      </c>
      <c r="K73" s="162">
        <f t="shared" si="28"/>
        <v>4.0486999999999997E-3</v>
      </c>
      <c r="L73" s="82">
        <f t="shared" si="28"/>
        <v>7342418.8913395433</v>
      </c>
      <c r="M73" s="82">
        <f t="shared" si="23"/>
        <v>15947199.062768117</v>
      </c>
    </row>
    <row r="74" spans="8:13" x14ac:dyDescent="0.15">
      <c r="H74" s="98" t="str">
        <f t="shared" ref="H74:L74" si="29">H10</f>
        <v>ES</v>
      </c>
      <c r="I74" s="98" t="str">
        <f t="shared" si="29"/>
        <v>Espírito Santo</v>
      </c>
      <c r="J74" s="146">
        <f t="shared" si="29"/>
        <v>1.902684E-2</v>
      </c>
      <c r="K74" s="162">
        <f t="shared" si="29"/>
        <v>4.1594600000000002E-2</v>
      </c>
      <c r="L74" s="82">
        <f t="shared" si="29"/>
        <v>33962335.257599078</v>
      </c>
      <c r="M74" s="82">
        <f t="shared" si="23"/>
        <v>73763718.606170505</v>
      </c>
    </row>
    <row r="75" spans="8:13" x14ac:dyDescent="0.15">
      <c r="H75" s="98" t="str">
        <f t="shared" ref="H75:L75" si="30">H11</f>
        <v>GO</v>
      </c>
      <c r="I75" s="98" t="str">
        <f t="shared" si="30"/>
        <v>Goiás</v>
      </c>
      <c r="J75" s="146">
        <f t="shared" si="30"/>
        <v>3.4509379999999999E-2</v>
      </c>
      <c r="K75" s="162">
        <f t="shared" si="30"/>
        <v>4.9844899999999998E-2</v>
      </c>
      <c r="L75" s="82">
        <f t="shared" si="30"/>
        <v>50683925.263235681</v>
      </c>
      <c r="M75" s="82">
        <f t="shared" si="23"/>
        <v>110081794.2175214</v>
      </c>
    </row>
    <row r="76" spans="8:13" x14ac:dyDescent="0.15">
      <c r="H76" s="98" t="str">
        <f t="shared" ref="H76:L76" si="31">H12</f>
        <v>MA</v>
      </c>
      <c r="I76" s="98" t="str">
        <f t="shared" si="31"/>
        <v>Maranhão</v>
      </c>
      <c r="J76" s="146">
        <f t="shared" si="31"/>
        <v>6.8518739999999995E-2</v>
      </c>
      <c r="K76" s="162">
        <f t="shared" si="31"/>
        <v>1.6931499999999999E-2</v>
      </c>
      <c r="L76" s="82">
        <f t="shared" si="31"/>
        <v>65652969.756918378</v>
      </c>
      <c r="M76" s="82">
        <f t="shared" si="23"/>
        <v>142593468.6197755</v>
      </c>
    </row>
    <row r="77" spans="8:13" x14ac:dyDescent="0.15">
      <c r="H77" s="98" t="str">
        <f t="shared" ref="H77:L77" si="32">H13</f>
        <v>MG</v>
      </c>
      <c r="I77" s="98" t="str">
        <f t="shared" si="32"/>
        <v>Minas Gerais</v>
      </c>
      <c r="J77" s="146">
        <f t="shared" si="32"/>
        <v>5.1361169999999998E-2</v>
      </c>
      <c r="K77" s="162">
        <f t="shared" si="32"/>
        <v>0.13147220000000001</v>
      </c>
      <c r="L77" s="82">
        <f t="shared" si="32"/>
        <v>99861459.443684131</v>
      </c>
      <c r="M77" s="82">
        <f t="shared" si="23"/>
        <v>216891816.71796983</v>
      </c>
    </row>
    <row r="78" spans="8:13" x14ac:dyDescent="0.15">
      <c r="H78" s="98" t="str">
        <f t="shared" ref="H78:L78" si="33">H14</f>
        <v>MS</v>
      </c>
      <c r="I78" s="98" t="str">
        <f t="shared" si="33"/>
        <v>Mato Grosso do Sul</v>
      </c>
      <c r="J78" s="146">
        <f t="shared" si="33"/>
        <v>1.5118889999999999E-2</v>
      </c>
      <c r="K78" s="162">
        <f t="shared" si="33"/>
        <v>3.4342499999999998E-2</v>
      </c>
      <c r="L78" s="82">
        <f t="shared" si="33"/>
        <v>27537281.663704734</v>
      </c>
      <c r="M78" s="82">
        <f t="shared" si="23"/>
        <v>59808970.155133307</v>
      </c>
    </row>
    <row r="79" spans="8:13" x14ac:dyDescent="0.15">
      <c r="H79" s="98" t="str">
        <f t="shared" ref="H79:L79" si="34">H15</f>
        <v>MT</v>
      </c>
      <c r="I79" s="98" t="str">
        <f t="shared" si="34"/>
        <v>Mato Grosso</v>
      </c>
      <c r="J79" s="146">
        <f t="shared" si="34"/>
        <v>2.0727059999999999E-2</v>
      </c>
      <c r="K79" s="162">
        <f t="shared" si="34"/>
        <v>0.1405363</v>
      </c>
      <c r="L79" s="82">
        <f t="shared" si="34"/>
        <v>77601420.366030067</v>
      </c>
      <c r="M79" s="82">
        <f t="shared" si="23"/>
        <v>168544633.10317293</v>
      </c>
    </row>
    <row r="80" spans="8:13" x14ac:dyDescent="0.15">
      <c r="H80" s="98" t="str">
        <f t="shared" ref="H80:L80" si="35">H16</f>
        <v>PA</v>
      </c>
      <c r="I80" s="98" t="str">
        <f t="shared" si="35"/>
        <v>Pará</v>
      </c>
      <c r="J80" s="146">
        <f t="shared" si="35"/>
        <v>6.5267220000000001E-2</v>
      </c>
      <c r="K80" s="162">
        <f t="shared" si="35"/>
        <v>5.8891399999999997E-2</v>
      </c>
      <c r="L80" s="82">
        <f t="shared" si="35"/>
        <v>80771912.268944442</v>
      </c>
      <c r="M80" s="82">
        <f t="shared" si="23"/>
        <v>175430710.600373</v>
      </c>
    </row>
    <row r="81" spans="8:16" x14ac:dyDescent="0.15">
      <c r="H81" s="98" t="str">
        <f t="shared" ref="H81:L81" si="36">H17</f>
        <v>PB</v>
      </c>
      <c r="I81" s="98" t="str">
        <f t="shared" si="36"/>
        <v>Paraíba</v>
      </c>
      <c r="J81" s="146">
        <f t="shared" si="36"/>
        <v>4.3835220000000001E-2</v>
      </c>
      <c r="K81" s="162">
        <f t="shared" si="36"/>
        <v>2.0113000000000002E-3</v>
      </c>
      <c r="L81" s="82">
        <f t="shared" si="36"/>
        <v>38240641.484848559</v>
      </c>
      <c r="M81" s="82">
        <f t="shared" si="23"/>
        <v>83055888.130562857</v>
      </c>
    </row>
    <row r="82" spans="8:16" x14ac:dyDescent="0.15">
      <c r="H82" s="98" t="str">
        <f t="shared" ref="H82:L82" si="37">H18</f>
        <v>PE</v>
      </c>
      <c r="I82" s="98" t="str">
        <f t="shared" si="37"/>
        <v>Pernambuco</v>
      </c>
      <c r="J82" s="146">
        <f t="shared" si="37"/>
        <v>6.3232819999999995E-2</v>
      </c>
      <c r="K82" s="162">
        <f t="shared" si="37"/>
        <v>7.4459000000000001E-3</v>
      </c>
      <c r="L82" s="82">
        <f t="shared" si="37"/>
        <v>57100399.611157812</v>
      </c>
      <c r="M82" s="82">
        <f t="shared" si="23"/>
        <v>124017909.17115781</v>
      </c>
    </row>
    <row r="83" spans="8:16" x14ac:dyDescent="0.15">
      <c r="H83" s="98" t="str">
        <f t="shared" ref="H83:L83" si="38">H19</f>
        <v>PI</v>
      </c>
      <c r="I83" s="98" t="str">
        <f t="shared" si="38"/>
        <v>Piauí</v>
      </c>
      <c r="J83" s="146">
        <f t="shared" si="38"/>
        <v>4.4624150000000001E-2</v>
      </c>
      <c r="K83" s="162">
        <f t="shared" si="38"/>
        <v>4.1066000000000002E-3</v>
      </c>
      <c r="L83" s="82">
        <f t="shared" si="38"/>
        <v>39806891.143658549</v>
      </c>
      <c r="M83" s="82">
        <f t="shared" si="23"/>
        <v>86457668.315087125</v>
      </c>
    </row>
    <row r="84" spans="8:16" x14ac:dyDescent="0.15">
      <c r="H84" s="98" t="str">
        <f t="shared" ref="H84:L84" si="39">H20</f>
        <v>PR</v>
      </c>
      <c r="I84" s="98" t="str">
        <f t="shared" si="39"/>
        <v>Paraná</v>
      </c>
      <c r="J84" s="146">
        <f t="shared" si="39"/>
        <v>2.5740260000000001E-2</v>
      </c>
      <c r="K84" s="162">
        <f t="shared" si="39"/>
        <v>8.8360499999999995E-2</v>
      </c>
      <c r="L84" s="82">
        <f t="shared" si="39"/>
        <v>59628752.862015575</v>
      </c>
      <c r="M84" s="82">
        <f t="shared" si="23"/>
        <v>129509308.28487271</v>
      </c>
    </row>
    <row r="85" spans="8:16" x14ac:dyDescent="0.15">
      <c r="H85" s="98" t="str">
        <f t="shared" ref="H85:L85" si="40">H21</f>
        <v>RJ</v>
      </c>
      <c r="I85" s="98" t="str">
        <f t="shared" si="40"/>
        <v>Rio de Janeiro</v>
      </c>
      <c r="J85" s="146">
        <f t="shared" si="40"/>
        <v>1.2666449999999999E-2</v>
      </c>
      <c r="K85" s="162">
        <f t="shared" si="40"/>
        <v>4.88583E-2</v>
      </c>
      <c r="L85" s="82">
        <f t="shared" si="40"/>
        <v>31635415.197460443</v>
      </c>
      <c r="M85" s="82">
        <f t="shared" si="23"/>
        <v>68709817.711746156</v>
      </c>
    </row>
    <row r="86" spans="8:16" x14ac:dyDescent="0.15">
      <c r="H86" s="98" t="str">
        <f t="shared" ref="H86:L86" si="41">H22</f>
        <v>RN</v>
      </c>
      <c r="I86" s="98" t="str">
        <f t="shared" si="41"/>
        <v>Rio Grande do Norte</v>
      </c>
      <c r="J86" s="146">
        <f t="shared" si="41"/>
        <v>3.7658919999999999E-2</v>
      </c>
      <c r="K86" s="162">
        <f t="shared" si="41"/>
        <v>4.0482000000000001E-3</v>
      </c>
      <c r="L86" s="82">
        <f t="shared" si="41"/>
        <v>33841987.027818032</v>
      </c>
      <c r="M86" s="82">
        <f t="shared" si="23"/>
        <v>73502331.016389459</v>
      </c>
    </row>
    <row r="87" spans="8:16" x14ac:dyDescent="0.15">
      <c r="H87" s="98" t="str">
        <f t="shared" ref="H87:L87" si="42">H23</f>
        <v>RO</v>
      </c>
      <c r="I87" s="98" t="str">
        <f t="shared" si="42"/>
        <v>Rondônia</v>
      </c>
      <c r="J87" s="146">
        <f t="shared" si="42"/>
        <v>2.9820200000000002E-2</v>
      </c>
      <c r="K87" s="162">
        <f t="shared" si="42"/>
        <v>8.0558000000000001E-3</v>
      </c>
      <c r="L87" s="82">
        <f t="shared" si="42"/>
        <v>28865922.027010232</v>
      </c>
      <c r="M87" s="82">
        <f t="shared" si="23"/>
        <v>62694680.25558167</v>
      </c>
    </row>
    <row r="88" spans="8:16" x14ac:dyDescent="0.15">
      <c r="H88" s="98" t="str">
        <f t="shared" ref="H88:L88" si="43">H24</f>
        <v>RR</v>
      </c>
      <c r="I88" s="98" t="str">
        <f t="shared" si="43"/>
        <v>Roraima</v>
      </c>
      <c r="J88" s="146">
        <f t="shared" si="43"/>
        <v>3.4815939999999997E-2</v>
      </c>
      <c r="K88" s="162">
        <f t="shared" si="43"/>
        <v>2.4469999999999998E-4</v>
      </c>
      <c r="L88" s="82">
        <f t="shared" si="43"/>
        <v>29795644.508763306</v>
      </c>
      <c r="M88" s="82">
        <f t="shared" si="23"/>
        <v>64713969.771620445</v>
      </c>
    </row>
    <row r="89" spans="8:16" x14ac:dyDescent="0.15">
      <c r="H89" s="98" t="str">
        <f t="shared" ref="H89:L89" si="44">H25</f>
        <v>RS</v>
      </c>
      <c r="I89" s="98" t="str">
        <f t="shared" si="44"/>
        <v>Rio Grande do Sul</v>
      </c>
      <c r="J89" s="146">
        <f t="shared" si="44"/>
        <v>1.2586750000000001E-2</v>
      </c>
      <c r="K89" s="162">
        <f t="shared" si="44"/>
        <v>9.8686300000000005E-2</v>
      </c>
      <c r="L89" s="82">
        <f t="shared" si="44"/>
        <v>52814298.721066803</v>
      </c>
      <c r="M89" s="82">
        <f t="shared" si="23"/>
        <v>114708810.2067811</v>
      </c>
    </row>
    <row r="90" spans="8:16" x14ac:dyDescent="0.15">
      <c r="H90" s="98" t="str">
        <f t="shared" ref="H90:L90" si="45">H26</f>
        <v>SC</v>
      </c>
      <c r="I90" s="98" t="str">
        <f t="shared" si="45"/>
        <v>Santa Catarina</v>
      </c>
      <c r="J90" s="146">
        <f t="shared" si="45"/>
        <v>1.224127E-2</v>
      </c>
      <c r="K90" s="162">
        <f t="shared" si="45"/>
        <v>3.0347099999999998E-2</v>
      </c>
      <c r="L90" s="82">
        <f t="shared" si="45"/>
        <v>23379570.980484005</v>
      </c>
      <c r="M90" s="82">
        <f t="shared" si="23"/>
        <v>50778725.369055435</v>
      </c>
    </row>
    <row r="91" spans="8:16" x14ac:dyDescent="0.15">
      <c r="H91" s="98" t="str">
        <f t="shared" ref="H91:L91" si="46">H27</f>
        <v>SE</v>
      </c>
      <c r="I91" s="98" t="str">
        <f t="shared" si="46"/>
        <v>Sergipe</v>
      </c>
      <c r="J91" s="146">
        <f t="shared" si="46"/>
        <v>3.6762309999999999E-2</v>
      </c>
      <c r="K91" s="162">
        <f t="shared" si="46"/>
        <v>2.6159E-3</v>
      </c>
      <c r="L91" s="82">
        <f t="shared" si="46"/>
        <v>32466612.799773298</v>
      </c>
      <c r="M91" s="82">
        <f t="shared" si="23"/>
        <v>70515118.36548759</v>
      </c>
    </row>
    <row r="92" spans="8:16" x14ac:dyDescent="0.15">
      <c r="H92" s="98" t="str">
        <f t="shared" ref="H92:L92" si="47">H28</f>
        <v>SP</v>
      </c>
      <c r="I92" s="98" t="str">
        <f t="shared" si="47"/>
        <v>São Paulo</v>
      </c>
      <c r="J92" s="146">
        <f t="shared" si="47"/>
        <v>8.3463600000000006E-3</v>
      </c>
      <c r="K92" s="162">
        <f t="shared" si="47"/>
        <v>0.15570899999999999</v>
      </c>
      <c r="L92" s="82">
        <f t="shared" si="47"/>
        <v>73512761.526384801</v>
      </c>
      <c r="M92" s="82">
        <f t="shared" si="23"/>
        <v>159664363.89209908</v>
      </c>
    </row>
    <row r="93" spans="8:16" x14ac:dyDescent="0.15">
      <c r="H93" s="98" t="str">
        <f t="shared" ref="H93:L93" si="48">H29</f>
        <v>TO</v>
      </c>
      <c r="I93" s="98" t="str">
        <f t="shared" si="48"/>
        <v>Tocantins</v>
      </c>
      <c r="J93" s="146">
        <f t="shared" si="48"/>
        <v>3.4123189999999998E-2</v>
      </c>
      <c r="K93" s="162">
        <f t="shared" si="48"/>
        <v>8.0690999999999992E-3</v>
      </c>
      <c r="L93" s="82">
        <f t="shared" si="48"/>
        <v>32541216.421805933</v>
      </c>
      <c r="M93" s="82">
        <f t="shared" si="23"/>
        <v>70677151.998948798</v>
      </c>
    </row>
    <row r="94" spans="8:16" x14ac:dyDescent="0.15">
      <c r="H94" s="324" t="s">
        <v>28</v>
      </c>
      <c r="I94" s="324"/>
      <c r="J94" s="103">
        <f>SUM(J67:J93)</f>
        <v>0.99999999999999956</v>
      </c>
      <c r="K94" s="103">
        <f t="shared" ref="K94:M94" si="49">SUM(K67:K93)</f>
        <v>0.99999999999999989</v>
      </c>
      <c r="L94" s="158">
        <f t="shared" si="49"/>
        <v>1279211626.0739994</v>
      </c>
      <c r="M94" s="158">
        <f t="shared" si="49"/>
        <v>2778354483.2168565</v>
      </c>
    </row>
    <row r="96" spans="8:16" x14ac:dyDescent="0.15">
      <c r="H96" s="324" t="s">
        <v>263</v>
      </c>
      <c r="I96" s="324"/>
      <c r="J96" s="324"/>
      <c r="K96" s="324"/>
      <c r="L96" s="324"/>
      <c r="M96" s="324"/>
      <c r="N96" s="324"/>
      <c r="O96" s="324"/>
      <c r="P96" s="324"/>
    </row>
    <row r="97" spans="8:16" x14ac:dyDescent="0.15">
      <c r="H97" s="285" t="s">
        <v>163</v>
      </c>
      <c r="I97" s="285"/>
      <c r="J97" s="324" t="s">
        <v>260</v>
      </c>
      <c r="K97" s="324"/>
      <c r="L97" s="324" t="s">
        <v>261</v>
      </c>
      <c r="M97" s="324"/>
      <c r="N97" s="324" t="s">
        <v>262</v>
      </c>
      <c r="O97" s="324"/>
      <c r="P97" s="285" t="s">
        <v>28</v>
      </c>
    </row>
    <row r="98" spans="8:16" x14ac:dyDescent="0.15">
      <c r="H98" s="285"/>
      <c r="I98" s="285"/>
      <c r="J98" s="150" t="s">
        <v>128</v>
      </c>
      <c r="K98" s="148" t="s">
        <v>129</v>
      </c>
      <c r="L98" s="150" t="s">
        <v>128</v>
      </c>
      <c r="M98" s="148" t="s">
        <v>129</v>
      </c>
      <c r="N98" s="150" t="s">
        <v>128</v>
      </c>
      <c r="O98" s="148" t="s">
        <v>129</v>
      </c>
      <c r="P98" s="285"/>
    </row>
    <row r="99" spans="8:16" x14ac:dyDescent="0.15">
      <c r="H99" s="98" t="str">
        <f>H3</f>
        <v>AC</v>
      </c>
      <c r="I99" s="98" t="str">
        <f>I3</f>
        <v>Acre</v>
      </c>
      <c r="J99" s="146">
        <f>M3</f>
        <v>3.0967740000000001E-2</v>
      </c>
      <c r="K99" s="111">
        <f t="shared" ref="K99:O99" si="50">N3</f>
        <v>3961429.3041236852</v>
      </c>
      <c r="L99" s="146">
        <f t="shared" si="50"/>
        <v>0</v>
      </c>
      <c r="M99" s="111">
        <f t="shared" si="50"/>
        <v>0</v>
      </c>
      <c r="N99" s="146">
        <f t="shared" si="50"/>
        <v>2.63E-3</v>
      </c>
      <c r="O99" s="111">
        <f t="shared" si="50"/>
        <v>2906778.1621604711</v>
      </c>
      <c r="P99" s="82">
        <f>O99+M99+K99</f>
        <v>6868207.4662841558</v>
      </c>
    </row>
    <row r="100" spans="8:16" x14ac:dyDescent="0.15">
      <c r="H100" s="98" t="str">
        <f t="shared" ref="H100:I100" si="51">H4</f>
        <v>AL</v>
      </c>
      <c r="I100" s="98" t="str">
        <f t="shared" si="51"/>
        <v>Alagoas</v>
      </c>
      <c r="J100" s="146">
        <f t="shared" ref="J100:J119" si="52">M4</f>
        <v>4.301075E-2</v>
      </c>
      <c r="K100" s="111">
        <f t="shared" ref="K100:K120" si="53">N4</f>
        <v>5501985.1446162295</v>
      </c>
      <c r="L100" s="146">
        <f t="shared" ref="L100:L120" si="54">O4</f>
        <v>1.028013E-2</v>
      </c>
      <c r="M100" s="111">
        <f t="shared" ref="M100:M120" si="55">P4</f>
        <v>473416.62528787588</v>
      </c>
      <c r="N100" s="146">
        <f t="shared" ref="N100:N120" si="56">Q4</f>
        <v>2.0882999999999999E-2</v>
      </c>
      <c r="O100" s="111">
        <f t="shared" ref="O100:O120" si="57">R4</f>
        <v>23080702.798630081</v>
      </c>
      <c r="P100" s="82">
        <f t="shared" ref="P100:P119" si="58">O100+M100+K100</f>
        <v>29056104.568534188</v>
      </c>
    </row>
    <row r="101" spans="8:16" x14ac:dyDescent="0.15">
      <c r="H101" s="98" t="str">
        <f t="shared" ref="H101:I101" si="59">H5</f>
        <v>AM</v>
      </c>
      <c r="I101" s="98" t="str">
        <f t="shared" si="59"/>
        <v>Amazonas</v>
      </c>
      <c r="J101" s="146">
        <f t="shared" si="52"/>
        <v>5.4193560000000002E-2</v>
      </c>
      <c r="K101" s="111">
        <f t="shared" si="53"/>
        <v>6932503.2010338884</v>
      </c>
      <c r="L101" s="146">
        <f t="shared" si="54"/>
        <v>0</v>
      </c>
      <c r="M101" s="111">
        <f t="shared" si="55"/>
        <v>0</v>
      </c>
      <c r="N101" s="146">
        <f t="shared" si="56"/>
        <v>1.2452000000000001E-2</v>
      </c>
      <c r="O101" s="111">
        <f t="shared" si="57"/>
        <v>13762434.097042659</v>
      </c>
      <c r="P101" s="82">
        <f t="shared" si="58"/>
        <v>20694937.298076548</v>
      </c>
    </row>
    <row r="102" spans="8:16" x14ac:dyDescent="0.15">
      <c r="H102" s="98" t="str">
        <f t="shared" ref="H102:I102" si="60">H6</f>
        <v>AP</v>
      </c>
      <c r="I102" s="98" t="str">
        <f t="shared" si="60"/>
        <v>Amapá</v>
      </c>
      <c r="J102" s="146">
        <f t="shared" si="52"/>
        <v>2.752688E-2</v>
      </c>
      <c r="K102" s="111">
        <f t="shared" si="53"/>
        <v>3521270.4925543871</v>
      </c>
      <c r="L102" s="146">
        <f t="shared" si="54"/>
        <v>0</v>
      </c>
      <c r="M102" s="111">
        <f t="shared" si="55"/>
        <v>0</v>
      </c>
      <c r="N102" s="146">
        <f t="shared" si="56"/>
        <v>1.392E-3</v>
      </c>
      <c r="O102" s="111">
        <f t="shared" si="57"/>
        <v>1538492.4721396868</v>
      </c>
      <c r="P102" s="82">
        <f t="shared" si="58"/>
        <v>5059762.9646940734</v>
      </c>
    </row>
    <row r="103" spans="8:16" x14ac:dyDescent="0.15">
      <c r="H103" s="98" t="str">
        <f t="shared" ref="H103:I103" si="61">H7</f>
        <v>BA</v>
      </c>
      <c r="I103" s="98" t="str">
        <f t="shared" si="61"/>
        <v>Bahia</v>
      </c>
      <c r="J103" s="146">
        <f t="shared" si="52"/>
        <v>7.7419360000000007E-2</v>
      </c>
      <c r="K103" s="111">
        <f t="shared" si="53"/>
        <v>9903574.5395208392</v>
      </c>
      <c r="L103" s="146">
        <f t="shared" si="54"/>
        <v>0.11102544</v>
      </c>
      <c r="M103" s="111">
        <f t="shared" si="55"/>
        <v>5112901.2109673265</v>
      </c>
      <c r="N103" s="146">
        <f t="shared" si="56"/>
        <v>9.2695000000000013E-2</v>
      </c>
      <c r="O103" s="111">
        <f t="shared" si="57"/>
        <v>102450114.73059502</v>
      </c>
      <c r="P103" s="82">
        <f t="shared" si="58"/>
        <v>117466590.4810832</v>
      </c>
    </row>
    <row r="104" spans="8:16" x14ac:dyDescent="0.15">
      <c r="H104" s="98" t="str">
        <f t="shared" ref="H104:I104" si="62">H8</f>
        <v>CE</v>
      </c>
      <c r="I104" s="98" t="str">
        <f t="shared" si="62"/>
        <v>Ceará</v>
      </c>
      <c r="J104" s="146">
        <f t="shared" si="52"/>
        <v>8.6021520000000004E-2</v>
      </c>
      <c r="K104" s="111">
        <f t="shared" si="53"/>
        <v>11003972.847655712</v>
      </c>
      <c r="L104" s="146">
        <f t="shared" si="54"/>
        <v>4.1120520000000001E-2</v>
      </c>
      <c r="M104" s="111">
        <f t="shared" si="55"/>
        <v>1893666.5011515035</v>
      </c>
      <c r="N104" s="146">
        <f t="shared" si="56"/>
        <v>4.5864000000000002E-2</v>
      </c>
      <c r="O104" s="111">
        <f t="shared" si="57"/>
        <v>50690674.383774854</v>
      </c>
      <c r="P104" s="82">
        <f t="shared" si="58"/>
        <v>63588313.73258207</v>
      </c>
    </row>
    <row r="105" spans="8:16" x14ac:dyDescent="0.15">
      <c r="H105" s="98" t="str">
        <f t="shared" ref="H105:I105" si="63">H9</f>
        <v>DF</v>
      </c>
      <c r="I105" s="98" t="str">
        <f t="shared" si="63"/>
        <v>Distrito Federal</v>
      </c>
      <c r="J105" s="146">
        <f t="shared" si="52"/>
        <v>1.7204299999999999E-2</v>
      </c>
      <c r="K105" s="111">
        <f t="shared" si="53"/>
        <v>2200794.0578464917</v>
      </c>
      <c r="L105" s="146">
        <f t="shared" si="54"/>
        <v>0</v>
      </c>
      <c r="M105" s="111">
        <f t="shared" si="55"/>
        <v>0</v>
      </c>
      <c r="N105" s="146">
        <f t="shared" si="56"/>
        <v>0</v>
      </c>
      <c r="O105" s="111">
        <f t="shared" si="57"/>
        <v>0</v>
      </c>
      <c r="P105" s="82">
        <f t="shared" si="58"/>
        <v>2200794.0578464917</v>
      </c>
    </row>
    <row r="106" spans="8:16" x14ac:dyDescent="0.15">
      <c r="H106" s="98" t="str">
        <f t="shared" ref="H106:I106" si="64">H10</f>
        <v>ES</v>
      </c>
      <c r="I106" s="98" t="str">
        <f t="shared" si="64"/>
        <v>Espírito Santo</v>
      </c>
      <c r="J106" s="146">
        <f t="shared" si="52"/>
        <v>2.0645159999999999E-2</v>
      </c>
      <c r="K106" s="111">
        <f t="shared" si="53"/>
        <v>2640952.8694157903</v>
      </c>
      <c r="L106" s="146">
        <f t="shared" si="54"/>
        <v>3.08404E-2</v>
      </c>
      <c r="M106" s="111">
        <f t="shared" si="55"/>
        <v>1420250.336379813</v>
      </c>
      <c r="N106" s="146">
        <f t="shared" si="56"/>
        <v>1.7595E-2</v>
      </c>
      <c r="O106" s="111">
        <f t="shared" si="57"/>
        <v>19446677.47650703</v>
      </c>
      <c r="P106" s="82">
        <f t="shared" si="58"/>
        <v>23507880.682302631</v>
      </c>
    </row>
    <row r="107" spans="8:16" x14ac:dyDescent="0.15">
      <c r="H107" s="98" t="str">
        <f t="shared" ref="H107:I107" si="65">H11</f>
        <v>GO</v>
      </c>
      <c r="I107" s="98" t="str">
        <f t="shared" si="65"/>
        <v>Goiás</v>
      </c>
      <c r="J107" s="146">
        <f t="shared" si="52"/>
        <v>3.6129029999999999E-2</v>
      </c>
      <c r="K107" s="111">
        <f t="shared" si="53"/>
        <v>4621667.5214776332</v>
      </c>
      <c r="L107" s="146">
        <f t="shared" si="54"/>
        <v>3.7008480000000003E-2</v>
      </c>
      <c r="M107" s="111">
        <f t="shared" si="55"/>
        <v>1704300.4036557756</v>
      </c>
      <c r="N107" s="146">
        <f t="shared" si="56"/>
        <v>3.7317999999999997E-2</v>
      </c>
      <c r="O107" s="111">
        <f t="shared" si="57"/>
        <v>41245303.215020709</v>
      </c>
      <c r="P107" s="82">
        <f t="shared" si="58"/>
        <v>47571271.140154116</v>
      </c>
    </row>
    <row r="108" spans="8:16" x14ac:dyDescent="0.15">
      <c r="H108" s="98" t="str">
        <f t="shared" ref="H108:I108" si="66">H12</f>
        <v>MA</v>
      </c>
      <c r="I108" s="98" t="str">
        <f t="shared" si="66"/>
        <v>Maranhão</v>
      </c>
      <c r="J108" s="146">
        <f t="shared" si="52"/>
        <v>5.3763440000000003E-2</v>
      </c>
      <c r="K108" s="111">
        <f t="shared" si="53"/>
        <v>6877481.7505731937</v>
      </c>
      <c r="L108" s="146">
        <f t="shared" si="54"/>
        <v>6.4250849999999998E-2</v>
      </c>
      <c r="M108" s="111">
        <f t="shared" si="55"/>
        <v>2958855.6349849193</v>
      </c>
      <c r="N108" s="146">
        <f t="shared" si="56"/>
        <v>3.9715E-2</v>
      </c>
      <c r="O108" s="111">
        <f t="shared" si="57"/>
        <v>43894560.726312973</v>
      </c>
      <c r="P108" s="82">
        <f t="shared" si="58"/>
        <v>53730898.111871086</v>
      </c>
    </row>
    <row r="109" spans="8:16" x14ac:dyDescent="0.15">
      <c r="H109" s="98" t="str">
        <f t="shared" ref="H109:I109" si="67">H13</f>
        <v>MG</v>
      </c>
      <c r="I109" s="98" t="str">
        <f t="shared" si="67"/>
        <v>Minas Gerais</v>
      </c>
      <c r="J109" s="146">
        <f t="shared" si="52"/>
        <v>5.1612909999999998E-2</v>
      </c>
      <c r="K109" s="111">
        <f t="shared" si="53"/>
        <v>6602383.452751101</v>
      </c>
      <c r="L109" s="146">
        <f t="shared" si="54"/>
        <v>9.8689280000000004E-2</v>
      </c>
      <c r="M109" s="111">
        <f t="shared" si="55"/>
        <v>4544801.0764154019</v>
      </c>
      <c r="N109" s="146">
        <f t="shared" si="56"/>
        <v>0.141846</v>
      </c>
      <c r="O109" s="111">
        <f t="shared" si="57"/>
        <v>156773709.19764799</v>
      </c>
      <c r="P109" s="82">
        <f t="shared" si="58"/>
        <v>167920893.72681448</v>
      </c>
    </row>
    <row r="110" spans="8:16" x14ac:dyDescent="0.15">
      <c r="H110" s="98" t="str">
        <f t="shared" ref="H110:I110" si="68">H14</f>
        <v>MS</v>
      </c>
      <c r="I110" s="98" t="str">
        <f t="shared" si="68"/>
        <v>Mato Grosso do Sul</v>
      </c>
      <c r="J110" s="146">
        <f t="shared" si="52"/>
        <v>1.548387E-2</v>
      </c>
      <c r="K110" s="111">
        <f t="shared" si="53"/>
        <v>1980714.6520618426</v>
      </c>
      <c r="L110" s="146">
        <f t="shared" si="54"/>
        <v>4.6260600000000004E-3</v>
      </c>
      <c r="M110" s="111">
        <f t="shared" si="55"/>
        <v>213037.55045697195</v>
      </c>
      <c r="N110" s="146">
        <f t="shared" si="56"/>
        <v>1.5004E-2</v>
      </c>
      <c r="O110" s="111">
        <f t="shared" si="57"/>
        <v>16583003.629298748</v>
      </c>
      <c r="P110" s="82">
        <f t="shared" si="58"/>
        <v>18776755.831817564</v>
      </c>
    </row>
    <row r="111" spans="8:16" x14ac:dyDescent="0.15">
      <c r="H111" s="98" t="str">
        <f t="shared" ref="H111:I111" si="69">H15</f>
        <v>MT</v>
      </c>
      <c r="I111" s="98" t="str">
        <f t="shared" si="69"/>
        <v>Mato Grosso</v>
      </c>
      <c r="J111" s="146">
        <f t="shared" si="52"/>
        <v>1.376344E-2</v>
      </c>
      <c r="K111" s="111">
        <f t="shared" si="53"/>
        <v>1760635.2462771935</v>
      </c>
      <c r="L111" s="146">
        <f t="shared" si="54"/>
        <v>1.2336150000000001E-2</v>
      </c>
      <c r="M111" s="111">
        <f t="shared" si="55"/>
        <v>568099.67403573985</v>
      </c>
      <c r="N111" s="146">
        <f t="shared" si="56"/>
        <v>1.8949000000000001E-2</v>
      </c>
      <c r="O111" s="111">
        <f t="shared" si="57"/>
        <v>20943170.872539457</v>
      </c>
      <c r="P111" s="82">
        <f t="shared" si="58"/>
        <v>23271905.792852391</v>
      </c>
    </row>
    <row r="112" spans="8:16" x14ac:dyDescent="0.15">
      <c r="H112" s="98" t="str">
        <f t="shared" ref="H112:I112" si="70">H16</f>
        <v>PA</v>
      </c>
      <c r="I112" s="98" t="str">
        <f t="shared" si="70"/>
        <v>Pará</v>
      </c>
      <c r="J112" s="146">
        <f t="shared" si="52"/>
        <v>4.6451609999999997E-2</v>
      </c>
      <c r="K112" s="111">
        <f t="shared" si="53"/>
        <v>5942143.9561855271</v>
      </c>
      <c r="L112" s="146">
        <f t="shared" si="54"/>
        <v>5.5512720000000002E-2</v>
      </c>
      <c r="M112" s="111">
        <f t="shared" si="55"/>
        <v>2556450.6054836633</v>
      </c>
      <c r="N112" s="146">
        <f t="shared" si="56"/>
        <v>3.2947999999999998E-2</v>
      </c>
      <c r="O112" s="111">
        <f t="shared" si="57"/>
        <v>36415409.46268563</v>
      </c>
      <c r="P112" s="82">
        <f t="shared" si="58"/>
        <v>44914004.024354823</v>
      </c>
    </row>
    <row r="113" spans="8:16" x14ac:dyDescent="0.15">
      <c r="H113" s="98" t="str">
        <f t="shared" ref="H113:I113" si="71">H17</f>
        <v>PB</v>
      </c>
      <c r="I113" s="98" t="str">
        <f t="shared" si="71"/>
        <v>Paraíba</v>
      </c>
      <c r="J113" s="146">
        <f t="shared" si="52"/>
        <v>3.4408599999999998E-2</v>
      </c>
      <c r="K113" s="111">
        <f t="shared" si="53"/>
        <v>4401588.1156929834</v>
      </c>
      <c r="L113" s="146">
        <f t="shared" si="54"/>
        <v>1.028013E-2</v>
      </c>
      <c r="M113" s="111">
        <f t="shared" si="55"/>
        <v>473416.62528787588</v>
      </c>
      <c r="N113" s="146">
        <f t="shared" si="56"/>
        <v>3.1941999999999998E-2</v>
      </c>
      <c r="O113" s="111">
        <f t="shared" si="57"/>
        <v>35303539.184688121</v>
      </c>
      <c r="P113" s="82">
        <f t="shared" si="58"/>
        <v>40178543.925668977</v>
      </c>
    </row>
    <row r="114" spans="8:16" x14ac:dyDescent="0.15">
      <c r="H114" s="98" t="str">
        <f t="shared" ref="H114:I114" si="72">H18</f>
        <v>PE</v>
      </c>
      <c r="I114" s="98" t="str">
        <f t="shared" si="72"/>
        <v>Pernambuco</v>
      </c>
      <c r="J114" s="146">
        <f t="shared" si="52"/>
        <v>4.8172039999999999E-2</v>
      </c>
      <c r="K114" s="111">
        <f t="shared" si="53"/>
        <v>6162223.3619701769</v>
      </c>
      <c r="L114" s="146">
        <f t="shared" si="54"/>
        <v>5.7568769999999998E-2</v>
      </c>
      <c r="M114" s="111">
        <f t="shared" si="55"/>
        <v>2651135.0357800834</v>
      </c>
      <c r="N114" s="146">
        <f t="shared" si="56"/>
        <v>4.7952000000000002E-2</v>
      </c>
      <c r="O114" s="111">
        <f t="shared" si="57"/>
        <v>52998413.091984384</v>
      </c>
      <c r="P114" s="82">
        <f t="shared" si="58"/>
        <v>61811771.489734642</v>
      </c>
    </row>
    <row r="115" spans="8:16" x14ac:dyDescent="0.15">
      <c r="H115" s="98" t="str">
        <f t="shared" ref="H115:I115" si="73">H19</f>
        <v>PI</v>
      </c>
      <c r="I115" s="98" t="str">
        <f t="shared" si="73"/>
        <v>Piauí</v>
      </c>
      <c r="J115" s="146">
        <f t="shared" si="52"/>
        <v>5.3763440000000003E-2</v>
      </c>
      <c r="K115" s="111">
        <f t="shared" si="53"/>
        <v>6877481.7505731937</v>
      </c>
      <c r="L115" s="146">
        <f t="shared" si="54"/>
        <v>1.2850169999999999E-2</v>
      </c>
      <c r="M115" s="111">
        <f t="shared" si="55"/>
        <v>591771.12699698377</v>
      </c>
      <c r="N115" s="146">
        <f t="shared" si="56"/>
        <v>2.4015000000000002E-2</v>
      </c>
      <c r="O115" s="111">
        <f t="shared" si="57"/>
        <v>26542310.860944379</v>
      </c>
      <c r="P115" s="82">
        <f t="shared" si="58"/>
        <v>34011563.738514557</v>
      </c>
    </row>
    <row r="116" spans="8:16" x14ac:dyDescent="0.15">
      <c r="H116" s="98" t="str">
        <f t="shared" ref="H116:I116" si="74">H20</f>
        <v>PR</v>
      </c>
      <c r="I116" s="98" t="str">
        <f t="shared" si="74"/>
        <v>Paraná</v>
      </c>
      <c r="J116" s="146">
        <f t="shared" si="52"/>
        <v>3.0967740000000001E-2</v>
      </c>
      <c r="K116" s="111">
        <f t="shared" si="53"/>
        <v>3961429.3041236852</v>
      </c>
      <c r="L116" s="146">
        <f t="shared" si="54"/>
        <v>4.6260600000000006E-2</v>
      </c>
      <c r="M116" s="111">
        <f t="shared" si="55"/>
        <v>2130375.5045697195</v>
      </c>
      <c r="N116" s="146">
        <f t="shared" si="56"/>
        <v>7.2857000000000005E-2</v>
      </c>
      <c r="O116" s="111">
        <f t="shared" si="57"/>
        <v>80524386.524914622</v>
      </c>
      <c r="P116" s="82">
        <f t="shared" si="58"/>
        <v>86616191.333608031</v>
      </c>
    </row>
    <row r="117" spans="8:16" x14ac:dyDescent="0.15">
      <c r="H117" s="98" t="str">
        <f t="shared" ref="H117:I117" si="75">H21</f>
        <v>RJ</v>
      </c>
      <c r="I117" s="98" t="str">
        <f t="shared" si="75"/>
        <v>Rio de Janeiro</v>
      </c>
      <c r="J117" s="146">
        <f t="shared" si="52"/>
        <v>3.4408599999999998E-2</v>
      </c>
      <c r="K117" s="111">
        <f t="shared" si="53"/>
        <v>4401588.1156929834</v>
      </c>
      <c r="L117" s="146">
        <f t="shared" si="54"/>
        <v>9.0465099999999993E-2</v>
      </c>
      <c r="M117" s="111">
        <f t="shared" si="55"/>
        <v>4166064.2762620915</v>
      </c>
      <c r="N117" s="146">
        <f t="shared" si="56"/>
        <v>2.7378999999999997E-2</v>
      </c>
      <c r="O117" s="111">
        <f t="shared" si="57"/>
        <v>30260334.335281953</v>
      </c>
      <c r="P117" s="82">
        <f t="shared" si="58"/>
        <v>38827986.727237023</v>
      </c>
    </row>
    <row r="118" spans="8:16" x14ac:dyDescent="0.15">
      <c r="H118" s="98" t="str">
        <f t="shared" ref="H118:I118" si="76">H22</f>
        <v>RN</v>
      </c>
      <c r="I118" s="98" t="str">
        <f t="shared" si="76"/>
        <v>Rio Grande do Norte</v>
      </c>
      <c r="J118" s="146">
        <f t="shared" si="52"/>
        <v>3.0967740000000001E-2</v>
      </c>
      <c r="K118" s="111">
        <f t="shared" si="53"/>
        <v>3961429.3041236852</v>
      </c>
      <c r="L118" s="146">
        <f t="shared" si="54"/>
        <v>1.8504240000000002E-2</v>
      </c>
      <c r="M118" s="111">
        <f t="shared" si="55"/>
        <v>852150.20182788779</v>
      </c>
      <c r="N118" s="146">
        <f t="shared" si="56"/>
        <v>2.4323999999999998E-2</v>
      </c>
      <c r="O118" s="111">
        <f t="shared" si="57"/>
        <v>26883829.66402711</v>
      </c>
      <c r="P118" s="82">
        <f t="shared" si="58"/>
        <v>31697409.169978682</v>
      </c>
    </row>
    <row r="119" spans="8:16" x14ac:dyDescent="0.15">
      <c r="H119" s="98" t="str">
        <f t="shared" ref="H119:I119" si="77">H23</f>
        <v>RO</v>
      </c>
      <c r="I119" s="98" t="str">
        <f t="shared" si="77"/>
        <v>Rondônia</v>
      </c>
      <c r="J119" s="146">
        <f t="shared" si="52"/>
        <v>2.408602E-2</v>
      </c>
      <c r="K119" s="111">
        <f t="shared" si="53"/>
        <v>3081111.6809850885</v>
      </c>
      <c r="L119" s="146">
        <f t="shared" si="54"/>
        <v>0</v>
      </c>
      <c r="M119" s="111">
        <f t="shared" si="55"/>
        <v>0</v>
      </c>
      <c r="N119" s="146">
        <f t="shared" si="56"/>
        <v>7.4640000000000001E-3</v>
      </c>
      <c r="O119" s="111">
        <f t="shared" si="57"/>
        <v>8249502.7385421135</v>
      </c>
      <c r="P119" s="82">
        <f t="shared" si="58"/>
        <v>11330614.419527203</v>
      </c>
    </row>
    <row r="120" spans="8:16" x14ac:dyDescent="0.15">
      <c r="H120" s="98" t="str">
        <f>H24</f>
        <v>RR</v>
      </c>
      <c r="I120" s="98" t="str">
        <f>I24</f>
        <v>Roraima</v>
      </c>
      <c r="J120" s="146">
        <f t="shared" ref="J120:J125" si="78">M24</f>
        <v>4.301075E-2</v>
      </c>
      <c r="K120" s="111">
        <f t="shared" si="53"/>
        <v>5501985.1446162295</v>
      </c>
      <c r="L120" s="146">
        <f t="shared" si="54"/>
        <v>0</v>
      </c>
      <c r="M120" s="111">
        <f t="shared" si="55"/>
        <v>0</v>
      </c>
      <c r="N120" s="146">
        <f t="shared" si="56"/>
        <v>8.5099999999999998E-4</v>
      </c>
      <c r="O120" s="111">
        <f t="shared" si="57"/>
        <v>940558.25703367335</v>
      </c>
      <c r="P120" s="82">
        <f>O120+M120+K120</f>
        <v>6442543.4016499026</v>
      </c>
    </row>
    <row r="121" spans="8:16" x14ac:dyDescent="0.15">
      <c r="H121" s="98" t="str">
        <f t="shared" ref="H121:I121" si="79">H25</f>
        <v>RS</v>
      </c>
      <c r="I121" s="98" t="str">
        <f t="shared" si="79"/>
        <v>Rio Grande do Sul</v>
      </c>
      <c r="J121" s="146">
        <f t="shared" si="78"/>
        <v>2.7096769999999999E-2</v>
      </c>
      <c r="K121" s="111">
        <f t="shared" ref="K121:O125" si="80">N25</f>
        <v>3466250.3213053178</v>
      </c>
      <c r="L121" s="146">
        <f t="shared" si="80"/>
        <v>4.5232549999999996E-2</v>
      </c>
      <c r="M121" s="111">
        <f t="shared" si="80"/>
        <v>2083032.1381310457</v>
      </c>
      <c r="N121" s="146">
        <f t="shared" si="80"/>
        <v>7.3010999999999993E-2</v>
      </c>
      <c r="O121" s="111">
        <f t="shared" si="80"/>
        <v>80694593.307033509</v>
      </c>
      <c r="P121" s="82">
        <f t="shared" ref="P121:P125" si="81">O121+M121+K121</f>
        <v>86243875.766469881</v>
      </c>
    </row>
    <row r="122" spans="8:16" x14ac:dyDescent="0.15">
      <c r="H122" s="98" t="str">
        <f t="shared" ref="H122:I122" si="82">H26</f>
        <v>SC</v>
      </c>
      <c r="I122" s="98" t="str">
        <f t="shared" si="82"/>
        <v>Santa Catarina</v>
      </c>
      <c r="J122" s="146">
        <f t="shared" si="78"/>
        <v>1.376344E-2</v>
      </c>
      <c r="K122" s="111">
        <f t="shared" si="80"/>
        <v>1760635.2462771935</v>
      </c>
      <c r="L122" s="146">
        <f t="shared" si="80"/>
        <v>3.7008449999999998E-2</v>
      </c>
      <c r="M122" s="111">
        <f t="shared" si="80"/>
        <v>1704299.0221072193</v>
      </c>
      <c r="N122" s="146">
        <f t="shared" si="80"/>
        <v>4.1997E-2</v>
      </c>
      <c r="O122" s="111">
        <f t="shared" si="80"/>
        <v>46416715.770438522</v>
      </c>
      <c r="P122" s="82">
        <f t="shared" si="81"/>
        <v>49881650.038822934</v>
      </c>
    </row>
    <row r="123" spans="8:16" x14ac:dyDescent="0.15">
      <c r="H123" s="98" t="str">
        <f t="shared" ref="H123:I123" si="83">H27</f>
        <v>SE</v>
      </c>
      <c r="I123" s="98" t="str">
        <f t="shared" si="83"/>
        <v>Sergipe</v>
      </c>
      <c r="J123" s="146">
        <f t="shared" si="78"/>
        <v>3.0967740000000001E-2</v>
      </c>
      <c r="K123" s="111">
        <f t="shared" si="80"/>
        <v>3961429.3041236852</v>
      </c>
      <c r="L123" s="146">
        <f t="shared" si="80"/>
        <v>9.2521200000000008E-3</v>
      </c>
      <c r="M123" s="111">
        <f t="shared" si="80"/>
        <v>426075.1009139439</v>
      </c>
      <c r="N123" s="146">
        <f t="shared" si="80"/>
        <v>1.3342E-2</v>
      </c>
      <c r="O123" s="111">
        <f t="shared" si="80"/>
        <v>14746096.669028519</v>
      </c>
      <c r="P123" s="82">
        <f t="shared" si="81"/>
        <v>19133601.074066147</v>
      </c>
    </row>
    <row r="124" spans="8:16" x14ac:dyDescent="0.15">
      <c r="H124" s="98" t="str">
        <f t="shared" ref="H124:I124" si="84">H28</f>
        <v>SP</v>
      </c>
      <c r="I124" s="98" t="str">
        <f t="shared" si="84"/>
        <v>São Paulo</v>
      </c>
      <c r="J124" s="146">
        <f t="shared" si="78"/>
        <v>3.010753E-2</v>
      </c>
      <c r="K124" s="111">
        <f t="shared" si="80"/>
        <v>3851390.240837174</v>
      </c>
      <c r="L124" s="146">
        <f t="shared" si="80"/>
        <v>0.19969176999999999</v>
      </c>
      <c r="M124" s="111">
        <f t="shared" si="80"/>
        <v>9196129.2173506245</v>
      </c>
      <c r="N124" s="146">
        <f t="shared" si="80"/>
        <v>0.14262</v>
      </c>
      <c r="O124" s="111">
        <f t="shared" si="80"/>
        <v>157629164.06362221</v>
      </c>
      <c r="P124" s="82">
        <f t="shared" si="81"/>
        <v>170676683.52181002</v>
      </c>
    </row>
    <row r="125" spans="8:16" x14ac:dyDescent="0.15">
      <c r="H125" s="98" t="str">
        <f t="shared" ref="H125:I125" si="85">H29</f>
        <v>TO</v>
      </c>
      <c r="I125" s="98" t="str">
        <f t="shared" si="85"/>
        <v>Tocantins</v>
      </c>
      <c r="J125" s="146">
        <f t="shared" si="78"/>
        <v>2.408602E-2</v>
      </c>
      <c r="K125" s="111">
        <f t="shared" si="80"/>
        <v>3081111.6809850885</v>
      </c>
      <c r="L125" s="146">
        <f t="shared" si="80"/>
        <v>7.1960699999999997E-3</v>
      </c>
      <c r="M125" s="111">
        <f t="shared" si="80"/>
        <v>331390.67061752378</v>
      </c>
      <c r="N125" s="146">
        <f t="shared" si="80"/>
        <v>1.2955000000000001E-2</v>
      </c>
      <c r="O125" s="111">
        <f t="shared" si="80"/>
        <v>14318369.23604141</v>
      </c>
      <c r="P125" s="82">
        <f t="shared" si="81"/>
        <v>17730871.587644022</v>
      </c>
    </row>
    <row r="126" spans="8:16" x14ac:dyDescent="0.15">
      <c r="H126" s="324" t="s">
        <v>28</v>
      </c>
      <c r="I126" s="324"/>
      <c r="J126" s="167">
        <f>SUM(J99:J125)</f>
        <v>1</v>
      </c>
      <c r="K126" s="111">
        <f t="shared" ref="K126:P126" si="86">SUM(K99:K125)</f>
        <v>127921162.6074</v>
      </c>
      <c r="L126" s="167">
        <f t="shared" si="86"/>
        <v>0.99999999999999978</v>
      </c>
      <c r="M126" s="111">
        <f t="shared" si="86"/>
        <v>46051618.538663983</v>
      </c>
      <c r="N126" s="167">
        <f t="shared" si="86"/>
        <v>1</v>
      </c>
      <c r="O126" s="111">
        <f t="shared" si="86"/>
        <v>1105238844.9279358</v>
      </c>
      <c r="P126" s="111">
        <f t="shared" si="86"/>
        <v>1279211626.0739996</v>
      </c>
    </row>
    <row r="127" spans="8:16" x14ac:dyDescent="0.15">
      <c r="J127" s="140"/>
      <c r="K127" s="122"/>
      <c r="L127" s="140"/>
      <c r="M127" s="122"/>
      <c r="N127" s="140"/>
      <c r="O127" s="122"/>
      <c r="P127" s="113"/>
    </row>
    <row r="128" spans="8:16" x14ac:dyDescent="0.15">
      <c r="H128" s="324" t="s">
        <v>263</v>
      </c>
      <c r="I128" s="324"/>
      <c r="J128" s="324"/>
      <c r="K128" s="324"/>
      <c r="L128" s="324"/>
      <c r="M128" s="324"/>
      <c r="N128" s="324"/>
      <c r="O128" s="324"/>
      <c r="P128" s="324"/>
    </row>
    <row r="129" spans="8:16" x14ac:dyDescent="0.15">
      <c r="H129" s="285" t="s">
        <v>163</v>
      </c>
      <c r="I129" s="285"/>
      <c r="J129" s="324" t="s">
        <v>260</v>
      </c>
      <c r="K129" s="324"/>
      <c r="L129" s="324" t="s">
        <v>261</v>
      </c>
      <c r="M129" s="324"/>
      <c r="N129" s="324" t="s">
        <v>262</v>
      </c>
      <c r="O129" s="324"/>
      <c r="P129" s="285" t="s">
        <v>28</v>
      </c>
    </row>
    <row r="130" spans="8:16" x14ac:dyDescent="0.15">
      <c r="H130" s="285"/>
      <c r="I130" s="285"/>
      <c r="J130" s="150" t="s">
        <v>128</v>
      </c>
      <c r="K130" s="148" t="s">
        <v>129</v>
      </c>
      <c r="L130" s="150" t="s">
        <v>128</v>
      </c>
      <c r="M130" s="148" t="s">
        <v>129</v>
      </c>
      <c r="N130" s="150" t="s">
        <v>128</v>
      </c>
      <c r="O130" s="148" t="s">
        <v>129</v>
      </c>
      <c r="P130" s="285"/>
    </row>
    <row r="131" spans="8:16" x14ac:dyDescent="0.15">
      <c r="H131" s="98" t="str">
        <f>H34</f>
        <v>AC</v>
      </c>
      <c r="I131" s="98" t="str">
        <f>I34</f>
        <v>Acre</v>
      </c>
      <c r="J131" s="146">
        <f>M34</f>
        <v>3.0967740000000001E-2</v>
      </c>
      <c r="K131" s="111">
        <f t="shared" ref="K131:O131" si="87">N34</f>
        <v>8603935.926409401</v>
      </c>
      <c r="L131" s="146">
        <f t="shared" si="87"/>
        <v>0</v>
      </c>
      <c r="M131" s="111">
        <f t="shared" si="87"/>
        <v>0</v>
      </c>
      <c r="N131" s="146">
        <f t="shared" si="87"/>
        <v>2.63E-3</v>
      </c>
      <c r="O131" s="111">
        <f t="shared" si="87"/>
        <v>6313310.4593033278</v>
      </c>
      <c r="P131" s="111">
        <f>O131+M131+K131</f>
        <v>14917246.385712728</v>
      </c>
    </row>
    <row r="132" spans="8:16" x14ac:dyDescent="0.15">
      <c r="H132" s="98" t="str">
        <f t="shared" ref="H132:I132" si="88">H35</f>
        <v>AL</v>
      </c>
      <c r="I132" s="98" t="str">
        <f t="shared" si="88"/>
        <v>Alagoas</v>
      </c>
      <c r="J132" s="146">
        <f t="shared" ref="J132:J149" si="89">M35</f>
        <v>4.301075E-2</v>
      </c>
      <c r="K132" s="111">
        <f t="shared" ref="K132:K150" si="90">N35</f>
        <v>11949911.008901944</v>
      </c>
      <c r="L132" s="146">
        <f t="shared" ref="L132:L150" si="91">O35</f>
        <v>1.028013E-2</v>
      </c>
      <c r="M132" s="111">
        <f t="shared" ref="M132:M150" si="92">P35</f>
        <v>1028226.4298478758</v>
      </c>
      <c r="N132" s="146">
        <f t="shared" ref="N132:N150" si="93">Q35</f>
        <v>2.0882999999999999E-2</v>
      </c>
      <c r="O132" s="111">
        <f t="shared" ref="O132:O150" si="94">R35</f>
        <v>50129605.445487224</v>
      </c>
      <c r="P132" s="111">
        <f t="shared" ref="P132:P149" si="95">O132+M132+K132</f>
        <v>63107742.884237044</v>
      </c>
    </row>
    <row r="133" spans="8:16" x14ac:dyDescent="0.15">
      <c r="H133" s="98" t="str">
        <f t="shared" ref="H133:I133" si="96">H36</f>
        <v>AM</v>
      </c>
      <c r="I133" s="98" t="str">
        <f t="shared" si="96"/>
        <v>Amazonas</v>
      </c>
      <c r="J133" s="146">
        <f t="shared" si="89"/>
        <v>5.4193560000000002E-2</v>
      </c>
      <c r="K133" s="111">
        <f t="shared" si="90"/>
        <v>15056892.038748175</v>
      </c>
      <c r="L133" s="146">
        <f t="shared" si="91"/>
        <v>0</v>
      </c>
      <c r="M133" s="111">
        <f t="shared" si="92"/>
        <v>0</v>
      </c>
      <c r="N133" s="146">
        <f t="shared" si="93"/>
        <v>1.2452000000000001E-2</v>
      </c>
      <c r="O133" s="111">
        <f t="shared" si="94"/>
        <v>29891004.50161409</v>
      </c>
      <c r="P133" s="111">
        <f t="shared" si="95"/>
        <v>44947896.540362269</v>
      </c>
    </row>
    <row r="134" spans="8:16" x14ac:dyDescent="0.15">
      <c r="H134" s="98" t="str">
        <f t="shared" ref="H134:I134" si="97">H37</f>
        <v>AP</v>
      </c>
      <c r="I134" s="98" t="str">
        <f t="shared" si="97"/>
        <v>Amapá</v>
      </c>
      <c r="J134" s="146">
        <f t="shared" si="89"/>
        <v>2.752688E-2</v>
      </c>
      <c r="K134" s="111">
        <f t="shared" si="90"/>
        <v>7647943.0456972448</v>
      </c>
      <c r="L134" s="146">
        <f t="shared" si="91"/>
        <v>0</v>
      </c>
      <c r="M134" s="111">
        <f t="shared" si="92"/>
        <v>0</v>
      </c>
      <c r="N134" s="146">
        <f t="shared" si="93"/>
        <v>1.392E-3</v>
      </c>
      <c r="O134" s="111">
        <f t="shared" si="94"/>
        <v>3341493.5967111154</v>
      </c>
      <c r="P134" s="111">
        <f t="shared" si="95"/>
        <v>10989436.64240836</v>
      </c>
    </row>
    <row r="135" spans="8:16" x14ac:dyDescent="0.15">
      <c r="H135" s="98" t="str">
        <f t="shared" ref="H135:I135" si="98">H38</f>
        <v>BA</v>
      </c>
      <c r="I135" s="98" t="str">
        <f t="shared" si="98"/>
        <v>Bahia</v>
      </c>
      <c r="J135" s="146">
        <f t="shared" si="89"/>
        <v>7.7419360000000007E-2</v>
      </c>
      <c r="K135" s="111">
        <f t="shared" si="90"/>
        <v>21509842.594377987</v>
      </c>
      <c r="L135" s="146">
        <f t="shared" si="91"/>
        <v>0.11102544</v>
      </c>
      <c r="M135" s="111">
        <f t="shared" si="92"/>
        <v>11104849.04310447</v>
      </c>
      <c r="N135" s="146">
        <f t="shared" si="93"/>
        <v>9.2695000000000013E-2</v>
      </c>
      <c r="O135" s="111">
        <f t="shared" si="94"/>
        <v>222514187.46202362</v>
      </c>
      <c r="P135" s="111">
        <f t="shared" si="95"/>
        <v>255128879.09950608</v>
      </c>
    </row>
    <row r="136" spans="8:16" x14ac:dyDescent="0.15">
      <c r="H136" s="98" t="str">
        <f t="shared" ref="H136:I136" si="99">H39</f>
        <v>CE</v>
      </c>
      <c r="I136" s="98" t="str">
        <f t="shared" si="99"/>
        <v>Ceará</v>
      </c>
      <c r="J136" s="146">
        <f t="shared" si="89"/>
        <v>8.6021520000000004E-2</v>
      </c>
      <c r="K136" s="111">
        <f t="shared" si="90"/>
        <v>23899827.574512858</v>
      </c>
      <c r="L136" s="146">
        <f t="shared" si="91"/>
        <v>4.1120520000000001E-2</v>
      </c>
      <c r="M136" s="111">
        <f t="shared" si="92"/>
        <v>4112905.7193915034</v>
      </c>
      <c r="N136" s="146">
        <f t="shared" si="93"/>
        <v>4.5864000000000002E-2</v>
      </c>
      <c r="O136" s="111">
        <f t="shared" si="94"/>
        <v>110096452.81577486</v>
      </c>
      <c r="P136" s="111">
        <f t="shared" si="95"/>
        <v>138109186.10967922</v>
      </c>
    </row>
    <row r="137" spans="8:16" x14ac:dyDescent="0.15">
      <c r="H137" s="98" t="str">
        <f t="shared" ref="H137:I137" si="100">H40</f>
        <v>DF</v>
      </c>
      <c r="I137" s="98" t="str">
        <f t="shared" si="100"/>
        <v>Distrito Federal</v>
      </c>
      <c r="J137" s="146">
        <f t="shared" si="89"/>
        <v>1.7204299999999999E-2</v>
      </c>
      <c r="K137" s="111">
        <f t="shared" si="90"/>
        <v>4779964.4035607772</v>
      </c>
      <c r="L137" s="146">
        <f t="shared" si="91"/>
        <v>0</v>
      </c>
      <c r="M137" s="111">
        <f t="shared" si="92"/>
        <v>0</v>
      </c>
      <c r="N137" s="146">
        <f t="shared" si="93"/>
        <v>0</v>
      </c>
      <c r="O137" s="111">
        <f t="shared" si="94"/>
        <v>0</v>
      </c>
      <c r="P137" s="111">
        <f t="shared" si="95"/>
        <v>4779964.4035607772</v>
      </c>
    </row>
    <row r="138" spans="8:16" x14ac:dyDescent="0.15">
      <c r="H138" s="98" t="str">
        <f t="shared" ref="H138:I138" si="101">H41</f>
        <v>ES</v>
      </c>
      <c r="I138" s="98" t="str">
        <f t="shared" si="101"/>
        <v>Espírito Santo</v>
      </c>
      <c r="J138" s="146">
        <f t="shared" si="89"/>
        <v>2.0645159999999999E-2</v>
      </c>
      <c r="K138" s="111">
        <f t="shared" si="90"/>
        <v>5735957.2842729334</v>
      </c>
      <c r="L138" s="146">
        <f t="shared" si="91"/>
        <v>3.08404E-2</v>
      </c>
      <c r="M138" s="111">
        <f t="shared" si="92"/>
        <v>3084680.2897512414</v>
      </c>
      <c r="N138" s="146">
        <f t="shared" si="93"/>
        <v>1.7595E-2</v>
      </c>
      <c r="O138" s="111">
        <f t="shared" si="94"/>
        <v>42236767.122221313</v>
      </c>
      <c r="P138" s="111">
        <f t="shared" si="95"/>
        <v>51057404.696245484</v>
      </c>
    </row>
    <row r="139" spans="8:16" x14ac:dyDescent="0.15">
      <c r="H139" s="98" t="str">
        <f t="shared" ref="H139:I139" si="102">H42</f>
        <v>GO</v>
      </c>
      <c r="I139" s="98" t="str">
        <f t="shared" si="102"/>
        <v>Goiás</v>
      </c>
      <c r="J139" s="146">
        <f t="shared" si="89"/>
        <v>3.6129029999999999E-2</v>
      </c>
      <c r="K139" s="111">
        <f t="shared" si="90"/>
        <v>10037925.247477634</v>
      </c>
      <c r="L139" s="146">
        <f t="shared" si="91"/>
        <v>3.7008480000000003E-2</v>
      </c>
      <c r="M139" s="111">
        <f t="shared" si="92"/>
        <v>3701616.3477014904</v>
      </c>
      <c r="N139" s="146">
        <f t="shared" si="93"/>
        <v>3.7317999999999997E-2</v>
      </c>
      <c r="O139" s="111">
        <f t="shared" si="94"/>
        <v>89581794.570449278</v>
      </c>
      <c r="P139" s="111">
        <f t="shared" si="95"/>
        <v>103321336.1656284</v>
      </c>
    </row>
    <row r="140" spans="8:16" x14ac:dyDescent="0.15">
      <c r="H140" s="98" t="str">
        <f t="shared" ref="H140:I140" si="103">H43</f>
        <v>MA</v>
      </c>
      <c r="I140" s="98" t="str">
        <f t="shared" si="103"/>
        <v>Maranhão</v>
      </c>
      <c r="J140" s="146">
        <f t="shared" si="89"/>
        <v>5.3763440000000003E-2</v>
      </c>
      <c r="K140" s="111">
        <f t="shared" si="90"/>
        <v>14937389.455716053</v>
      </c>
      <c r="L140" s="146">
        <f t="shared" si="91"/>
        <v>6.4250849999999998E-2</v>
      </c>
      <c r="M140" s="111">
        <f t="shared" si="92"/>
        <v>6426418.9373277761</v>
      </c>
      <c r="N140" s="146">
        <f t="shared" si="93"/>
        <v>3.9715E-2</v>
      </c>
      <c r="O140" s="111">
        <f t="shared" si="94"/>
        <v>95335788.932027251</v>
      </c>
      <c r="P140" s="111">
        <f t="shared" si="95"/>
        <v>116699597.32507108</v>
      </c>
    </row>
    <row r="141" spans="8:16" x14ac:dyDescent="0.15">
      <c r="H141" s="98" t="str">
        <f t="shared" ref="H141:I141" si="104">H44</f>
        <v>MG</v>
      </c>
      <c r="I141" s="98" t="str">
        <f t="shared" si="104"/>
        <v>Minas Gerais</v>
      </c>
      <c r="J141" s="146">
        <f t="shared" si="89"/>
        <v>5.1612909999999998E-2</v>
      </c>
      <c r="K141" s="111">
        <f t="shared" si="90"/>
        <v>14339895.989036815</v>
      </c>
      <c r="L141" s="146">
        <f t="shared" si="91"/>
        <v>9.8689280000000004E-2</v>
      </c>
      <c r="M141" s="111">
        <f t="shared" si="92"/>
        <v>9870976.9272039738</v>
      </c>
      <c r="N141" s="146">
        <f t="shared" si="93"/>
        <v>0.141846</v>
      </c>
      <c r="O141" s="111">
        <f t="shared" si="94"/>
        <v>340501078.10279083</v>
      </c>
      <c r="P141" s="111">
        <f t="shared" si="95"/>
        <v>364711951.01903158</v>
      </c>
    </row>
    <row r="142" spans="8:16" x14ac:dyDescent="0.15">
      <c r="H142" s="98" t="str">
        <f t="shared" ref="H142:I142" si="105">H45</f>
        <v>MS</v>
      </c>
      <c r="I142" s="98" t="str">
        <f t="shared" si="105"/>
        <v>Mato Grosso do Sul</v>
      </c>
      <c r="J142" s="146">
        <f t="shared" si="89"/>
        <v>1.548387E-2</v>
      </c>
      <c r="K142" s="111">
        <f t="shared" si="90"/>
        <v>4301967.9632047005</v>
      </c>
      <c r="L142" s="146">
        <f t="shared" si="91"/>
        <v>4.6260600000000004E-3</v>
      </c>
      <c r="M142" s="111">
        <f t="shared" si="92"/>
        <v>462702.0434626863</v>
      </c>
      <c r="N142" s="146">
        <f t="shared" si="93"/>
        <v>1.5004E-2</v>
      </c>
      <c r="O142" s="111">
        <f t="shared" si="94"/>
        <v>36017076.09558446</v>
      </c>
      <c r="P142" s="111">
        <f t="shared" si="95"/>
        <v>40781746.102251843</v>
      </c>
    </row>
    <row r="143" spans="8:16" x14ac:dyDescent="0.15">
      <c r="H143" s="98" t="str">
        <f t="shared" ref="H143:I143" si="106">H46</f>
        <v>MT</v>
      </c>
      <c r="I143" s="98" t="str">
        <f t="shared" si="106"/>
        <v>Mato Grosso</v>
      </c>
      <c r="J143" s="146">
        <f t="shared" si="89"/>
        <v>1.376344E-2</v>
      </c>
      <c r="K143" s="111">
        <f t="shared" si="90"/>
        <v>3823971.5228486224</v>
      </c>
      <c r="L143" s="146">
        <f t="shared" si="91"/>
        <v>1.2336150000000001E-2</v>
      </c>
      <c r="M143" s="111">
        <f t="shared" si="92"/>
        <v>1233871.1156928828</v>
      </c>
      <c r="N143" s="146">
        <f t="shared" si="93"/>
        <v>1.8949000000000001E-2</v>
      </c>
      <c r="O143" s="111">
        <f t="shared" si="94"/>
        <v>45487041.784539454</v>
      </c>
      <c r="P143" s="111">
        <f t="shared" si="95"/>
        <v>50544884.423080958</v>
      </c>
    </row>
    <row r="144" spans="8:16" x14ac:dyDescent="0.15">
      <c r="H144" s="98" t="str">
        <f t="shared" ref="H144:I144" si="107">H47</f>
        <v>PA</v>
      </c>
      <c r="I144" s="98" t="str">
        <f t="shared" si="107"/>
        <v>Pará</v>
      </c>
      <c r="J144" s="146">
        <f t="shared" si="89"/>
        <v>4.6451609999999997E-2</v>
      </c>
      <c r="K144" s="111">
        <f t="shared" si="90"/>
        <v>12905903.8896141</v>
      </c>
      <c r="L144" s="146">
        <f t="shared" si="91"/>
        <v>5.5512720000000002E-2</v>
      </c>
      <c r="M144" s="111">
        <f t="shared" si="92"/>
        <v>5552424.5215522349</v>
      </c>
      <c r="N144" s="146">
        <f t="shared" si="93"/>
        <v>3.2947999999999998E-2</v>
      </c>
      <c r="O144" s="111">
        <f t="shared" si="94"/>
        <v>79091617.115257055</v>
      </c>
      <c r="P144" s="111">
        <f t="shared" si="95"/>
        <v>97549945.526423395</v>
      </c>
    </row>
    <row r="145" spans="8:16" x14ac:dyDescent="0.15">
      <c r="H145" s="98" t="str">
        <f t="shared" ref="H145:I145" si="108">H48</f>
        <v>PB</v>
      </c>
      <c r="I145" s="98" t="str">
        <f t="shared" si="108"/>
        <v>Paraíba</v>
      </c>
      <c r="J145" s="146">
        <f t="shared" si="89"/>
        <v>3.4408599999999998E-2</v>
      </c>
      <c r="K145" s="111">
        <f t="shared" si="90"/>
        <v>9559928.8071215544</v>
      </c>
      <c r="L145" s="146">
        <f t="shared" si="91"/>
        <v>1.028013E-2</v>
      </c>
      <c r="M145" s="111">
        <f t="shared" si="92"/>
        <v>1028226.4298478758</v>
      </c>
      <c r="N145" s="146">
        <f t="shared" si="93"/>
        <v>3.1941999999999998E-2</v>
      </c>
      <c r="O145" s="111">
        <f t="shared" si="94"/>
        <v>76676715.852116689</v>
      </c>
      <c r="P145" s="111">
        <f t="shared" si="95"/>
        <v>87264871.08908613</v>
      </c>
    </row>
    <row r="146" spans="8:16" x14ac:dyDescent="0.15">
      <c r="H146" s="98" t="str">
        <f t="shared" ref="H146:I146" si="109">H49</f>
        <v>PE</v>
      </c>
      <c r="I146" s="98" t="str">
        <f t="shared" si="109"/>
        <v>Pernambuco</v>
      </c>
      <c r="J146" s="146">
        <f t="shared" si="89"/>
        <v>4.8172039999999999E-2</v>
      </c>
      <c r="K146" s="111">
        <f t="shared" si="90"/>
        <v>13383900.329970177</v>
      </c>
      <c r="L146" s="146">
        <f t="shared" si="91"/>
        <v>5.7568769999999998E-2</v>
      </c>
      <c r="M146" s="111">
        <f t="shared" si="92"/>
        <v>5758072.2080200836</v>
      </c>
      <c r="N146" s="146">
        <f t="shared" si="93"/>
        <v>4.7952000000000002E-2</v>
      </c>
      <c r="O146" s="111">
        <f t="shared" si="94"/>
        <v>115108693.21084152</v>
      </c>
      <c r="P146" s="111">
        <f t="shared" si="95"/>
        <v>134250665.74883178</v>
      </c>
    </row>
    <row r="147" spans="8:16" x14ac:dyDescent="0.15">
      <c r="H147" s="98" t="str">
        <f t="shared" ref="H147:I147" si="110">H50</f>
        <v>PI</v>
      </c>
      <c r="I147" s="98" t="str">
        <f t="shared" si="110"/>
        <v>Piauí</v>
      </c>
      <c r="J147" s="146">
        <f t="shared" si="89"/>
        <v>5.3763440000000003E-2</v>
      </c>
      <c r="K147" s="111">
        <f t="shared" si="90"/>
        <v>14937389.455716053</v>
      </c>
      <c r="L147" s="146">
        <f t="shared" si="91"/>
        <v>1.2850169999999999E-2</v>
      </c>
      <c r="M147" s="111">
        <f t="shared" si="92"/>
        <v>1285283.7874655551</v>
      </c>
      <c r="N147" s="146">
        <f t="shared" si="93"/>
        <v>2.4015000000000002E-2</v>
      </c>
      <c r="O147" s="111">
        <f t="shared" si="94"/>
        <v>57647966.038087241</v>
      </c>
      <c r="P147" s="111">
        <f t="shared" si="95"/>
        <v>73870639.28126885</v>
      </c>
    </row>
    <row r="148" spans="8:16" x14ac:dyDescent="0.15">
      <c r="H148" s="98" t="str">
        <f t="shared" ref="H148:I148" si="111">H51</f>
        <v>PR</v>
      </c>
      <c r="I148" s="98" t="str">
        <f t="shared" si="111"/>
        <v>Paraná</v>
      </c>
      <c r="J148" s="146">
        <f t="shared" si="89"/>
        <v>3.0967740000000001E-2</v>
      </c>
      <c r="K148" s="111">
        <f t="shared" si="90"/>
        <v>8603935.926409401</v>
      </c>
      <c r="L148" s="146">
        <f t="shared" si="91"/>
        <v>4.6260600000000006E-2</v>
      </c>
      <c r="M148" s="111">
        <f t="shared" si="92"/>
        <v>4627020.4346268633</v>
      </c>
      <c r="N148" s="146">
        <f t="shared" si="93"/>
        <v>7.2857000000000005E-2</v>
      </c>
      <c r="O148" s="111">
        <f t="shared" si="94"/>
        <v>174893102.71234322</v>
      </c>
      <c r="P148" s="111">
        <f t="shared" si="95"/>
        <v>188124059.07337949</v>
      </c>
    </row>
    <row r="149" spans="8:16" x14ac:dyDescent="0.15">
      <c r="H149" s="98" t="str">
        <f t="shared" ref="H149:I149" si="112">H52</f>
        <v>RJ</v>
      </c>
      <c r="I149" s="98" t="str">
        <f t="shared" si="112"/>
        <v>Rio de Janeiro</v>
      </c>
      <c r="J149" s="146">
        <f t="shared" si="89"/>
        <v>3.4408599999999998E-2</v>
      </c>
      <c r="K149" s="111">
        <f t="shared" si="90"/>
        <v>9559928.8071215544</v>
      </c>
      <c r="L149" s="146">
        <f t="shared" si="91"/>
        <v>9.0465099999999993E-2</v>
      </c>
      <c r="M149" s="111">
        <f t="shared" si="92"/>
        <v>9048388.1817478053</v>
      </c>
      <c r="N149" s="146">
        <f t="shared" si="93"/>
        <v>2.7378999999999997E-2</v>
      </c>
      <c r="O149" s="111">
        <f t="shared" si="94"/>
        <v>65723242.230139092</v>
      </c>
      <c r="P149" s="111">
        <f t="shared" si="95"/>
        <v>84331559.219008461</v>
      </c>
    </row>
    <row r="150" spans="8:16" x14ac:dyDescent="0.15">
      <c r="H150" s="98" t="str">
        <f>H53</f>
        <v>RN</v>
      </c>
      <c r="I150" s="98" t="str">
        <f>I53</f>
        <v>Rio Grande do Norte</v>
      </c>
      <c r="J150" s="146">
        <f>M53</f>
        <v>3.0967740000000001E-2</v>
      </c>
      <c r="K150" s="111">
        <f t="shared" si="90"/>
        <v>8603935.926409401</v>
      </c>
      <c r="L150" s="146">
        <f t="shared" si="91"/>
        <v>1.8504240000000002E-2</v>
      </c>
      <c r="M150" s="111">
        <f t="shared" si="92"/>
        <v>1850808.1738507452</v>
      </c>
      <c r="N150" s="146">
        <f t="shared" si="93"/>
        <v>2.4323999999999998E-2</v>
      </c>
      <c r="O150" s="111">
        <f t="shared" si="94"/>
        <v>58389720.004598536</v>
      </c>
      <c r="P150" s="111">
        <f>O150+M150+K150</f>
        <v>68844464.104858682</v>
      </c>
    </row>
    <row r="151" spans="8:16" x14ac:dyDescent="0.15">
      <c r="H151" s="98" t="str">
        <f t="shared" ref="H151:I151" si="113">H54</f>
        <v>RO</v>
      </c>
      <c r="I151" s="98" t="str">
        <f t="shared" si="113"/>
        <v>Rondônia</v>
      </c>
      <c r="J151" s="146">
        <f t="shared" ref="J151:J154" si="114">M54</f>
        <v>2.408602E-2</v>
      </c>
      <c r="K151" s="111">
        <f t="shared" ref="K151:K157" si="115">N54</f>
        <v>6691950.1649850886</v>
      </c>
      <c r="L151" s="146">
        <f t="shared" ref="L151:L157" si="116">O54</f>
        <v>0</v>
      </c>
      <c r="M151" s="111">
        <f t="shared" ref="M151:M157" si="117">P54</f>
        <v>0</v>
      </c>
      <c r="N151" s="146">
        <f t="shared" ref="N151:N157" si="118">Q54</f>
        <v>7.4640000000000001E-3</v>
      </c>
      <c r="O151" s="111">
        <f t="shared" ref="O151:O157" si="119">R54</f>
        <v>17917319.113399256</v>
      </c>
      <c r="P151" s="111">
        <f t="shared" ref="P151:P154" si="120">O151+M151+K151</f>
        <v>24609269.278384343</v>
      </c>
    </row>
    <row r="152" spans="8:16" x14ac:dyDescent="0.15">
      <c r="H152" s="98" t="str">
        <f t="shared" ref="H152:I152" si="121">H55</f>
        <v>RR</v>
      </c>
      <c r="I152" s="98" t="str">
        <f t="shared" si="121"/>
        <v>Roraima</v>
      </c>
      <c r="J152" s="146">
        <f t="shared" si="114"/>
        <v>4.301075E-2</v>
      </c>
      <c r="K152" s="111">
        <f t="shared" si="115"/>
        <v>11949911.008901944</v>
      </c>
      <c r="L152" s="146">
        <f t="shared" si="116"/>
        <v>0</v>
      </c>
      <c r="M152" s="111">
        <f t="shared" si="117"/>
        <v>0</v>
      </c>
      <c r="N152" s="146">
        <f t="shared" si="118"/>
        <v>8.5099999999999998E-4</v>
      </c>
      <c r="O152" s="111">
        <f t="shared" si="119"/>
        <v>2042824.0307479589</v>
      </c>
      <c r="P152" s="111">
        <f t="shared" si="120"/>
        <v>13992735.039649904</v>
      </c>
    </row>
    <row r="153" spans="8:16" x14ac:dyDescent="0.15">
      <c r="H153" s="98" t="str">
        <f t="shared" ref="H153:I153" si="122">H56</f>
        <v>RS</v>
      </c>
      <c r="I153" s="98" t="str">
        <f t="shared" si="122"/>
        <v>Rio Grande do Sul</v>
      </c>
      <c r="J153" s="146">
        <f t="shared" si="114"/>
        <v>2.7096769999999999E-2</v>
      </c>
      <c r="K153" s="111">
        <f t="shared" si="115"/>
        <v>7528443.2410196038</v>
      </c>
      <c r="L153" s="146">
        <f t="shared" si="116"/>
        <v>4.5232549999999996E-2</v>
      </c>
      <c r="M153" s="111">
        <f t="shared" si="117"/>
        <v>4524194.0908739027</v>
      </c>
      <c r="N153" s="146">
        <f t="shared" si="118"/>
        <v>7.3010999999999993E-2</v>
      </c>
      <c r="O153" s="111">
        <f t="shared" si="119"/>
        <v>175262779.44646206</v>
      </c>
      <c r="P153" s="111">
        <f t="shared" si="120"/>
        <v>187315416.77835557</v>
      </c>
    </row>
    <row r="154" spans="8:16" x14ac:dyDescent="0.15">
      <c r="H154" s="98" t="str">
        <f t="shared" ref="H154:I154" si="123">H57</f>
        <v>SC</v>
      </c>
      <c r="I154" s="98" t="str">
        <f t="shared" si="123"/>
        <v>Santa Catarina</v>
      </c>
      <c r="J154" s="146">
        <f t="shared" si="114"/>
        <v>1.376344E-2</v>
      </c>
      <c r="K154" s="111">
        <f t="shared" si="115"/>
        <v>3823971.5228486224</v>
      </c>
      <c r="L154" s="146">
        <f t="shared" si="116"/>
        <v>3.7008449999999998E-2</v>
      </c>
      <c r="M154" s="111">
        <f t="shared" si="117"/>
        <v>3701613.3470786479</v>
      </c>
      <c r="N154" s="146">
        <f t="shared" si="118"/>
        <v>4.1997E-2</v>
      </c>
      <c r="O154" s="111">
        <f t="shared" si="119"/>
        <v>100813725.99215281</v>
      </c>
      <c r="P154" s="111">
        <f t="shared" si="120"/>
        <v>108339310.86208008</v>
      </c>
    </row>
    <row r="155" spans="8:16" x14ac:dyDescent="0.15">
      <c r="H155" s="98" t="str">
        <f>H58</f>
        <v>SE</v>
      </c>
      <c r="I155" s="98" t="str">
        <f>I58</f>
        <v>Sergipe</v>
      </c>
      <c r="J155" s="146">
        <f>M58</f>
        <v>3.0967740000000001E-2</v>
      </c>
      <c r="K155" s="111">
        <f t="shared" si="115"/>
        <v>8603935.926409401</v>
      </c>
      <c r="L155" s="146">
        <f t="shared" si="116"/>
        <v>9.2521200000000008E-3</v>
      </c>
      <c r="M155" s="111">
        <f t="shared" si="117"/>
        <v>925404.0869253726</v>
      </c>
      <c r="N155" s="146">
        <f t="shared" si="118"/>
        <v>1.3342E-2</v>
      </c>
      <c r="O155" s="111">
        <f t="shared" si="119"/>
        <v>32027447.965028517</v>
      </c>
      <c r="P155" s="111">
        <f>O155+M155+K155</f>
        <v>41556787.97836329</v>
      </c>
    </row>
    <row r="156" spans="8:16" x14ac:dyDescent="0.15">
      <c r="H156" s="98" t="str">
        <f t="shared" ref="H156:I156" si="124">H59</f>
        <v>SP</v>
      </c>
      <c r="I156" s="98" t="str">
        <f t="shared" si="124"/>
        <v>São Paulo</v>
      </c>
      <c r="J156" s="146">
        <f t="shared" ref="J156" si="125">M59</f>
        <v>3.010753E-2</v>
      </c>
      <c r="K156" s="111">
        <f t="shared" si="115"/>
        <v>8364939.0954086026</v>
      </c>
      <c r="L156" s="146">
        <f t="shared" si="116"/>
        <v>0.19969176999999999</v>
      </c>
      <c r="M156" s="111">
        <f t="shared" si="117"/>
        <v>19973322.879876338</v>
      </c>
      <c r="N156" s="146">
        <f t="shared" si="118"/>
        <v>0.14262</v>
      </c>
      <c r="O156" s="111">
        <f t="shared" si="119"/>
        <v>342359063.76647931</v>
      </c>
      <c r="P156" s="111">
        <f t="shared" ref="P156" si="126">O156+M156+K156</f>
        <v>370697325.74176425</v>
      </c>
    </row>
    <row r="157" spans="8:16" x14ac:dyDescent="0.15">
      <c r="H157" s="98" t="str">
        <f>H60</f>
        <v>TO</v>
      </c>
      <c r="I157" s="98" t="str">
        <f>I60</f>
        <v>Tocantins</v>
      </c>
      <c r="J157" s="146">
        <f>M60</f>
        <v>2.408602E-2</v>
      </c>
      <c r="K157" s="111">
        <f t="shared" si="115"/>
        <v>6691950.1649850886</v>
      </c>
      <c r="L157" s="146">
        <f t="shared" si="116"/>
        <v>7.1960699999999997E-3</v>
      </c>
      <c r="M157" s="111">
        <f t="shared" si="117"/>
        <v>719756.40045752376</v>
      </c>
      <c r="N157" s="146">
        <f t="shared" si="118"/>
        <v>1.2955000000000001E-2</v>
      </c>
      <c r="O157" s="111">
        <f t="shared" si="119"/>
        <v>31098455.133184269</v>
      </c>
      <c r="P157" s="111">
        <f>O157+M157+K157</f>
        <v>38510161.698626883</v>
      </c>
    </row>
    <row r="158" spans="8:16" x14ac:dyDescent="0.15">
      <c r="H158" s="324" t="s">
        <v>28</v>
      </c>
      <c r="I158" s="324"/>
      <c r="J158" s="167">
        <f>SUM(J131:J157)</f>
        <v>1</v>
      </c>
      <c r="K158" s="111">
        <f t="shared" ref="K158" si="127">SUM(K131:K157)</f>
        <v>277835448.32168573</v>
      </c>
      <c r="L158" s="167">
        <f t="shared" ref="L158" si="128">SUM(L131:L157)</f>
        <v>0.99999999999999978</v>
      </c>
      <c r="M158" s="111">
        <f t="shared" ref="M158" si="129">SUM(M131:M157)</f>
        <v>100020761.39580685</v>
      </c>
      <c r="N158" s="167">
        <f t="shared" ref="N158" si="130">SUM(N131:N157)</f>
        <v>1</v>
      </c>
      <c r="O158" s="111">
        <f t="shared" ref="O158" si="131">SUM(O131:O157)</f>
        <v>2400498273.4993644</v>
      </c>
      <c r="P158" s="111">
        <f t="shared" ref="P158" si="132">SUM(P131:P157)</f>
        <v>2778354483.216857</v>
      </c>
    </row>
  </sheetData>
  <mergeCells count="43">
    <mergeCell ref="H158:I158"/>
    <mergeCell ref="H126:I126"/>
    <mergeCell ref="H128:P128"/>
    <mergeCell ref="H129:I130"/>
    <mergeCell ref="J129:K129"/>
    <mergeCell ref="L129:M129"/>
    <mergeCell ref="N129:O129"/>
    <mergeCell ref="P129:P130"/>
    <mergeCell ref="J97:K97"/>
    <mergeCell ref="L97:M97"/>
    <mergeCell ref="N97:O97"/>
    <mergeCell ref="P97:P98"/>
    <mergeCell ref="H97:I98"/>
    <mergeCell ref="H96:P96"/>
    <mergeCell ref="Y49:Z49"/>
    <mergeCell ref="H32:I33"/>
    <mergeCell ref="H1:I2"/>
    <mergeCell ref="H94:I94"/>
    <mergeCell ref="H66:I66"/>
    <mergeCell ref="H65:M65"/>
    <mergeCell ref="O33:P33"/>
    <mergeCell ref="Q33:R33"/>
    <mergeCell ref="U2:V3"/>
    <mergeCell ref="Y2:Z3"/>
    <mergeCell ref="Y17:Z17"/>
    <mergeCell ref="U34:V35"/>
    <mergeCell ref="Y34:Z35"/>
    <mergeCell ref="B41:C41"/>
    <mergeCell ref="B39:C39"/>
    <mergeCell ref="J1:L1"/>
    <mergeCell ref="M1:S1"/>
    <mergeCell ref="M2:N2"/>
    <mergeCell ref="O2:P2"/>
    <mergeCell ref="Q2:R2"/>
    <mergeCell ref="J32:L32"/>
    <mergeCell ref="M32:S32"/>
    <mergeCell ref="M33:N33"/>
    <mergeCell ref="A1:D1"/>
    <mergeCell ref="A17:D17"/>
    <mergeCell ref="B35:C35"/>
    <mergeCell ref="B36:C36"/>
    <mergeCell ref="B37:C37"/>
    <mergeCell ref="B40:C40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1"/>
  <sheetViews>
    <sheetView workbookViewId="0">
      <selection activeCell="X14" sqref="X14:Y14"/>
    </sheetView>
  </sheetViews>
  <sheetFormatPr defaultColWidth="18" defaultRowHeight="12.75" x14ac:dyDescent="0.2"/>
  <cols>
    <col min="1" max="1" width="23.28515625" style="27" bestFit="1" customWidth="1"/>
    <col min="2" max="2" width="25" style="27" customWidth="1"/>
    <col min="3" max="3" width="23.7109375" style="27" customWidth="1"/>
    <col min="4" max="4" width="24.28515625" style="27" customWidth="1"/>
    <col min="5" max="25" width="23.140625" style="27" bestFit="1" customWidth="1"/>
    <col min="26" max="27" width="25.140625" style="27" bestFit="1" customWidth="1"/>
    <col min="28" max="16384" width="18" style="27"/>
  </cols>
  <sheetData>
    <row r="1" spans="1:27" x14ac:dyDescent="0.2">
      <c r="A1" s="26"/>
      <c r="B1" s="256">
        <v>43101</v>
      </c>
      <c r="C1" s="257"/>
      <c r="D1" s="256">
        <v>43132</v>
      </c>
      <c r="E1" s="257"/>
      <c r="F1" s="256">
        <v>43160</v>
      </c>
      <c r="G1" s="257"/>
      <c r="H1" s="256">
        <v>43191</v>
      </c>
      <c r="I1" s="257"/>
      <c r="J1" s="256">
        <v>43221</v>
      </c>
      <c r="K1" s="257"/>
      <c r="L1" s="256">
        <v>43252</v>
      </c>
      <c r="M1" s="257"/>
      <c r="N1" s="256">
        <v>43282</v>
      </c>
      <c r="O1" s="257"/>
      <c r="P1" s="256">
        <v>43313</v>
      </c>
      <c r="Q1" s="257"/>
      <c r="R1" s="256">
        <v>43344</v>
      </c>
      <c r="S1" s="257"/>
      <c r="T1" s="256">
        <v>43374</v>
      </c>
      <c r="U1" s="257"/>
      <c r="V1" s="256">
        <v>43405</v>
      </c>
      <c r="W1" s="257"/>
      <c r="X1" s="256">
        <v>43435</v>
      </c>
      <c r="Y1" s="257"/>
      <c r="Z1" s="256" t="s">
        <v>199</v>
      </c>
      <c r="AA1" s="257"/>
    </row>
    <row r="2" spans="1:27" s="31" customFormat="1" ht="25.5" x14ac:dyDescent="0.2">
      <c r="A2" s="28" t="s">
        <v>76</v>
      </c>
      <c r="B2" s="29" t="s">
        <v>77</v>
      </c>
      <c r="C2" s="30" t="s">
        <v>78</v>
      </c>
      <c r="D2" s="29" t="s">
        <v>77</v>
      </c>
      <c r="E2" s="30" t="s">
        <v>78</v>
      </c>
      <c r="F2" s="29" t="s">
        <v>77</v>
      </c>
      <c r="G2" s="30" t="s">
        <v>78</v>
      </c>
      <c r="H2" s="29" t="s">
        <v>77</v>
      </c>
      <c r="I2" s="30" t="s">
        <v>78</v>
      </c>
      <c r="J2" s="29" t="s">
        <v>77</v>
      </c>
      <c r="K2" s="30" t="s">
        <v>78</v>
      </c>
      <c r="L2" s="29" t="s">
        <v>77</v>
      </c>
      <c r="M2" s="30" t="s">
        <v>78</v>
      </c>
      <c r="N2" s="29" t="s">
        <v>77</v>
      </c>
      <c r="O2" s="30" t="s">
        <v>78</v>
      </c>
      <c r="P2" s="29" t="s">
        <v>77</v>
      </c>
      <c r="Q2" s="30" t="s">
        <v>78</v>
      </c>
      <c r="R2" s="29" t="s">
        <v>77</v>
      </c>
      <c r="S2" s="30" t="s">
        <v>78</v>
      </c>
      <c r="T2" s="29" t="s">
        <v>77</v>
      </c>
      <c r="U2" s="30" t="s">
        <v>78</v>
      </c>
      <c r="V2" s="29" t="s">
        <v>77</v>
      </c>
      <c r="W2" s="30" t="s">
        <v>78</v>
      </c>
      <c r="X2" s="29" t="s">
        <v>77</v>
      </c>
      <c r="Y2" s="30" t="s">
        <v>78</v>
      </c>
      <c r="Z2" s="29" t="s">
        <v>77</v>
      </c>
      <c r="AA2" s="30" t="s">
        <v>78</v>
      </c>
    </row>
    <row r="3" spans="1:27" x14ac:dyDescent="0.2">
      <c r="A3" s="32" t="s">
        <v>79</v>
      </c>
      <c r="B3" s="33">
        <v>1193150.44</v>
      </c>
      <c r="C3" s="33">
        <v>765457.98</v>
      </c>
      <c r="D3" s="33">
        <v>988464.24</v>
      </c>
      <c r="E3" s="33">
        <v>644078.83000000007</v>
      </c>
      <c r="F3" s="33">
        <v>1256578.43</v>
      </c>
      <c r="G3" s="33">
        <v>806253.80999999994</v>
      </c>
      <c r="H3" s="33">
        <v>1057437.83</v>
      </c>
      <c r="I3" s="33">
        <v>678711.70000000007</v>
      </c>
      <c r="J3" s="34">
        <v>1050110.8999999999</v>
      </c>
      <c r="K3" s="34">
        <v>666369.30000000005</v>
      </c>
      <c r="L3" s="33">
        <v>1139428.54</v>
      </c>
      <c r="M3" s="33">
        <v>732405.92999999993</v>
      </c>
      <c r="N3" s="33">
        <v>1234616.24</v>
      </c>
      <c r="O3" s="33">
        <v>783165.43999999994</v>
      </c>
      <c r="P3" s="33">
        <v>1287775.95</v>
      </c>
      <c r="Q3" s="33">
        <v>836740.45000000007</v>
      </c>
      <c r="R3" s="33">
        <v>1319065.53</v>
      </c>
      <c r="S3" s="33">
        <v>848956.39999999991</v>
      </c>
      <c r="T3" s="33">
        <v>1479417.79</v>
      </c>
      <c r="U3" s="33">
        <v>954604.77999999991</v>
      </c>
      <c r="V3" s="33">
        <v>1515739.3699999999</v>
      </c>
      <c r="W3" s="33">
        <v>976211.66999999993</v>
      </c>
      <c r="X3" s="33">
        <v>1520281.01</v>
      </c>
      <c r="Y3" s="33">
        <v>976942.49</v>
      </c>
      <c r="Z3" s="33">
        <f>X3+V3+T3+R3+P3+N3+L3+J3+H3+F3+D3+B3</f>
        <v>15042066.27</v>
      </c>
      <c r="AA3" s="33">
        <f>Y3+W3+U3+S3+Q3+O3+M3+K3+I3+G3+E3+C3</f>
        <v>9669898.7800000012</v>
      </c>
    </row>
    <row r="4" spans="1:27" x14ac:dyDescent="0.2">
      <c r="A4" s="32" t="s">
        <v>80</v>
      </c>
      <c r="B4" s="33">
        <v>8839555.9100000001</v>
      </c>
      <c r="C4" s="33">
        <v>6342098.4900000002</v>
      </c>
      <c r="D4" s="33">
        <v>8920491.9499999993</v>
      </c>
      <c r="E4" s="33">
        <v>6330694.1900000004</v>
      </c>
      <c r="F4" s="33">
        <v>9572875.9100000001</v>
      </c>
      <c r="G4" s="33">
        <v>6758722.21</v>
      </c>
      <c r="H4" s="33">
        <v>8555236.6199999992</v>
      </c>
      <c r="I4" s="33">
        <v>6083312.5999999996</v>
      </c>
      <c r="J4" s="34">
        <v>9334424.8000000007</v>
      </c>
      <c r="K4" s="34">
        <v>6640451.3099999996</v>
      </c>
      <c r="L4" s="33">
        <v>10179585.1</v>
      </c>
      <c r="M4" s="33">
        <v>7254593.9299999997</v>
      </c>
      <c r="N4" s="33">
        <v>11819404.34</v>
      </c>
      <c r="O4" s="33">
        <v>8428887.4600000009</v>
      </c>
      <c r="P4" s="33">
        <v>11426029.310000001</v>
      </c>
      <c r="Q4" s="33">
        <v>8093060.7199999997</v>
      </c>
      <c r="R4" s="33">
        <v>11780628.689999999</v>
      </c>
      <c r="S4" s="33">
        <v>8363499.1900000004</v>
      </c>
      <c r="T4" s="33">
        <v>12754840.449999999</v>
      </c>
      <c r="U4" s="33">
        <v>9082878.3699999992</v>
      </c>
      <c r="V4" s="33">
        <v>13628704.99</v>
      </c>
      <c r="W4" s="33">
        <v>9704201.1500000004</v>
      </c>
      <c r="X4" s="33">
        <v>12619359.609999999</v>
      </c>
      <c r="Y4" s="33">
        <v>8971419.5299999993</v>
      </c>
      <c r="Z4" s="33">
        <f t="shared" ref="Z4:Z13" si="0">X4+V4+T4+R4+P4+N4+L4+J4+H4+F4+D4+B4</f>
        <v>129431137.67999999</v>
      </c>
      <c r="AA4" s="33">
        <f t="shared" ref="AA4:AA13" si="1">Y4+W4+U4+S4+Q4+O4+M4+K4+I4+G4+E4+C4</f>
        <v>92053819.149999976</v>
      </c>
    </row>
    <row r="5" spans="1:27" x14ac:dyDescent="0.2">
      <c r="A5" s="21" t="s">
        <v>81</v>
      </c>
      <c r="B5" s="33">
        <v>8824308.7400000002</v>
      </c>
      <c r="C5" s="33">
        <v>5248307.75</v>
      </c>
      <c r="D5" s="33">
        <v>9337733.6500000004</v>
      </c>
      <c r="E5" s="33">
        <v>5541718.1900000004</v>
      </c>
      <c r="F5" s="33">
        <v>9535409.3900000006</v>
      </c>
      <c r="G5" s="33">
        <v>5759227.7000000002</v>
      </c>
      <c r="H5" s="33">
        <v>7974965.0200000005</v>
      </c>
      <c r="I5" s="33">
        <v>4813966.05</v>
      </c>
      <c r="J5" s="34">
        <v>8706046.1099999994</v>
      </c>
      <c r="K5" s="34">
        <v>5227795.21</v>
      </c>
      <c r="L5" s="33">
        <v>9120506.6999999993</v>
      </c>
      <c r="M5" s="33">
        <v>5529855.4399999995</v>
      </c>
      <c r="N5" s="33">
        <v>10675986.4</v>
      </c>
      <c r="O5" s="33">
        <v>6444635.7800000003</v>
      </c>
      <c r="P5" s="33">
        <v>10550946.66</v>
      </c>
      <c r="Q5" s="33">
        <v>6373351.8000000007</v>
      </c>
      <c r="R5" s="33">
        <v>10958178.369999999</v>
      </c>
      <c r="S5" s="33">
        <v>6649862.0299999993</v>
      </c>
      <c r="T5" s="33">
        <v>11114446.109999999</v>
      </c>
      <c r="U5" s="33">
        <v>6732838.1999999993</v>
      </c>
      <c r="V5" s="33">
        <v>12010704.99</v>
      </c>
      <c r="W5" s="33">
        <v>7294575.6100000003</v>
      </c>
      <c r="X5" s="33">
        <v>11964363.630000001</v>
      </c>
      <c r="Y5" s="33">
        <v>7311267.0499999998</v>
      </c>
      <c r="Z5" s="33">
        <f t="shared" si="0"/>
        <v>120773595.77000001</v>
      </c>
      <c r="AA5" s="33">
        <f t="shared" si="1"/>
        <v>72927400.810000002</v>
      </c>
    </row>
    <row r="6" spans="1:27" x14ac:dyDescent="0.2">
      <c r="A6" s="21" t="s">
        <v>82</v>
      </c>
      <c r="B6" s="33">
        <v>583369.42000000004</v>
      </c>
      <c r="C6" s="33">
        <v>372360.64</v>
      </c>
      <c r="D6" s="33">
        <v>589195.53</v>
      </c>
      <c r="E6" s="33">
        <v>372711.67000000004</v>
      </c>
      <c r="F6" s="33">
        <v>585318.22</v>
      </c>
      <c r="G6" s="33">
        <v>375248.79</v>
      </c>
      <c r="H6" s="33">
        <v>507587.76</v>
      </c>
      <c r="I6" s="33">
        <v>325515.33999999997</v>
      </c>
      <c r="J6" s="34">
        <v>587211.75</v>
      </c>
      <c r="K6" s="34">
        <v>378261.95</v>
      </c>
      <c r="L6" s="33">
        <v>677976.52</v>
      </c>
      <c r="M6" s="33">
        <v>439374.32</v>
      </c>
      <c r="N6" s="33">
        <v>777118.89</v>
      </c>
      <c r="O6" s="33">
        <v>513908.06</v>
      </c>
      <c r="P6" s="33">
        <v>854651.88</v>
      </c>
      <c r="Q6" s="33">
        <v>541893.01</v>
      </c>
      <c r="R6" s="33">
        <v>865160.87</v>
      </c>
      <c r="S6" s="33">
        <v>557640.34000000008</v>
      </c>
      <c r="T6" s="33">
        <v>874658.19</v>
      </c>
      <c r="U6" s="33">
        <v>566380.30999999994</v>
      </c>
      <c r="V6" s="33">
        <v>939798.54</v>
      </c>
      <c r="W6" s="33">
        <v>605394.36</v>
      </c>
      <c r="X6" s="33">
        <v>924847.21</v>
      </c>
      <c r="Y6" s="33">
        <v>597951.4</v>
      </c>
      <c r="Z6" s="33">
        <f t="shared" si="0"/>
        <v>8766894.7799999993</v>
      </c>
      <c r="AA6" s="33">
        <f t="shared" si="1"/>
        <v>5646640.1899999995</v>
      </c>
    </row>
    <row r="7" spans="1:27" x14ac:dyDescent="0.2">
      <c r="A7" s="21" t="s">
        <v>83</v>
      </c>
      <c r="B7" s="33">
        <v>32574808.73</v>
      </c>
      <c r="C7" s="33">
        <v>26140339.600000001</v>
      </c>
      <c r="D7" s="33">
        <v>36359289.68</v>
      </c>
      <c r="E7" s="33">
        <v>29076071.370000001</v>
      </c>
      <c r="F7" s="33">
        <v>35763642.739999995</v>
      </c>
      <c r="G7" s="33">
        <v>28544782.449999999</v>
      </c>
      <c r="H7" s="33">
        <v>29833581.27</v>
      </c>
      <c r="I7" s="33">
        <v>23845876.539999999</v>
      </c>
      <c r="J7" s="34">
        <v>33450027.440000001</v>
      </c>
      <c r="K7" s="34">
        <v>26765537.940000001</v>
      </c>
      <c r="L7" s="33">
        <v>38165327.75</v>
      </c>
      <c r="M7" s="33">
        <v>30400897.23</v>
      </c>
      <c r="N7" s="33">
        <v>44500652.170000002</v>
      </c>
      <c r="O7" s="33">
        <v>35373422.100000001</v>
      </c>
      <c r="P7" s="33">
        <v>40947064.379999995</v>
      </c>
      <c r="Q7" s="33">
        <v>32660003.690000001</v>
      </c>
      <c r="R7" s="33">
        <v>41908276.07</v>
      </c>
      <c r="S7" s="33">
        <v>33077294.009999998</v>
      </c>
      <c r="T7" s="33">
        <v>45872218.590000004</v>
      </c>
      <c r="U7" s="33">
        <v>36230616.320000008</v>
      </c>
      <c r="V7" s="33">
        <v>42634912.609999999</v>
      </c>
      <c r="W7" s="33">
        <v>33724372.730000004</v>
      </c>
      <c r="X7" s="33">
        <v>49415948.850000001</v>
      </c>
      <c r="Y7" s="33">
        <v>39200510.290000007</v>
      </c>
      <c r="Z7" s="33">
        <f t="shared" si="0"/>
        <v>471425750.28000003</v>
      </c>
      <c r="AA7" s="33">
        <f t="shared" si="1"/>
        <v>375039724.27000004</v>
      </c>
    </row>
    <row r="8" spans="1:27" x14ac:dyDescent="0.2">
      <c r="A8" s="21" t="s">
        <v>84</v>
      </c>
      <c r="B8" s="33">
        <v>3143239.27</v>
      </c>
      <c r="C8" s="33">
        <v>2357429.4500000002</v>
      </c>
      <c r="D8" s="33">
        <v>3138181.61</v>
      </c>
      <c r="E8" s="33">
        <v>2353636.21</v>
      </c>
      <c r="F8" s="33">
        <v>3206638.71</v>
      </c>
      <c r="G8" s="33">
        <v>2404979.0299999998</v>
      </c>
      <c r="H8" s="33">
        <v>59442.67</v>
      </c>
      <c r="I8" s="33">
        <v>44582</v>
      </c>
      <c r="J8" s="34">
        <v>2610.09</v>
      </c>
      <c r="K8" s="34">
        <v>1957.56</v>
      </c>
      <c r="L8" s="33">
        <v>215997.53</v>
      </c>
      <c r="M8" s="33">
        <v>161998.15</v>
      </c>
      <c r="N8" s="33">
        <v>35377.4</v>
      </c>
      <c r="O8" s="33">
        <v>26533.05</v>
      </c>
      <c r="P8" s="33">
        <v>2867798.28</v>
      </c>
      <c r="Q8" s="33">
        <v>2150848.71</v>
      </c>
      <c r="R8" s="33">
        <v>3834945.2</v>
      </c>
      <c r="S8" s="33">
        <v>2876208.9</v>
      </c>
      <c r="T8" s="33">
        <v>4069666.9</v>
      </c>
      <c r="U8" s="33">
        <v>3052250.17</v>
      </c>
      <c r="V8" s="33">
        <v>4283857.47</v>
      </c>
      <c r="W8" s="33">
        <v>3212893.1</v>
      </c>
      <c r="X8" s="33">
        <v>3791689.75</v>
      </c>
      <c r="Y8" s="33">
        <v>2843767.31</v>
      </c>
      <c r="Z8" s="33">
        <f t="shared" si="0"/>
        <v>28649444.880000003</v>
      </c>
      <c r="AA8" s="33">
        <f t="shared" si="1"/>
        <v>21487083.640000001</v>
      </c>
    </row>
    <row r="9" spans="1:27" x14ac:dyDescent="0.2">
      <c r="A9" s="21" t="s">
        <v>85</v>
      </c>
      <c r="B9" s="33">
        <v>581765.62</v>
      </c>
      <c r="C9" s="33">
        <v>0</v>
      </c>
      <c r="D9" s="33">
        <v>652122.74</v>
      </c>
      <c r="E9" s="33">
        <v>0</v>
      </c>
      <c r="F9" s="33">
        <v>574176.76</v>
      </c>
      <c r="G9" s="33">
        <v>0</v>
      </c>
      <c r="H9" s="33">
        <v>514902.01</v>
      </c>
      <c r="I9" s="33">
        <v>0</v>
      </c>
      <c r="J9" s="34">
        <v>512103.19</v>
      </c>
      <c r="K9" s="34">
        <v>0</v>
      </c>
      <c r="L9" s="33">
        <v>524988.84</v>
      </c>
      <c r="M9" s="33">
        <v>0</v>
      </c>
      <c r="N9" s="33">
        <v>602144.29</v>
      </c>
      <c r="O9" s="33">
        <v>0</v>
      </c>
      <c r="P9" s="33">
        <v>713733.24</v>
      </c>
      <c r="Q9" s="33">
        <v>0</v>
      </c>
      <c r="R9" s="33">
        <v>700116.64</v>
      </c>
      <c r="S9" s="33">
        <v>0</v>
      </c>
      <c r="T9" s="33">
        <v>684563.44</v>
      </c>
      <c r="U9" s="33">
        <v>0</v>
      </c>
      <c r="V9" s="33">
        <v>714954.57</v>
      </c>
      <c r="W9" s="33">
        <v>0</v>
      </c>
      <c r="X9" s="33">
        <v>721576.88</v>
      </c>
      <c r="Y9" s="33">
        <v>0</v>
      </c>
      <c r="Z9" s="33">
        <f t="shared" si="0"/>
        <v>7497148.2199999997</v>
      </c>
      <c r="AA9" s="33">
        <f t="shared" si="1"/>
        <v>0</v>
      </c>
    </row>
    <row r="10" spans="1:27" x14ac:dyDescent="0.2">
      <c r="A10" s="21" t="s">
        <v>86</v>
      </c>
      <c r="B10" s="33">
        <v>160576620.92999998</v>
      </c>
      <c r="C10" s="33">
        <v>117755772.55000001</v>
      </c>
      <c r="D10" s="33">
        <v>163631228.52999997</v>
      </c>
      <c r="E10" s="33">
        <v>119877315.03</v>
      </c>
      <c r="F10" s="33">
        <v>176657908.51999998</v>
      </c>
      <c r="G10" s="33">
        <v>129646858.01000001</v>
      </c>
      <c r="H10" s="33">
        <v>150520197.54000002</v>
      </c>
      <c r="I10" s="33">
        <v>110565863.56</v>
      </c>
      <c r="J10" s="34">
        <v>165625692.87</v>
      </c>
      <c r="K10" s="34">
        <v>121542962.66</v>
      </c>
      <c r="L10" s="33">
        <v>186301878.84</v>
      </c>
      <c r="M10" s="33">
        <v>136890973.59</v>
      </c>
      <c r="N10" s="33">
        <v>220329947.77000001</v>
      </c>
      <c r="O10" s="33">
        <v>161773237.47</v>
      </c>
      <c r="P10" s="33">
        <v>216023629.87</v>
      </c>
      <c r="Q10" s="33">
        <v>158454007.31000003</v>
      </c>
      <c r="R10" s="33">
        <v>227948609.72999999</v>
      </c>
      <c r="S10" s="33">
        <v>167562200.39000002</v>
      </c>
      <c r="T10" s="33">
        <v>211944751.47000003</v>
      </c>
      <c r="U10" s="33">
        <v>155613981.97999999</v>
      </c>
      <c r="V10" s="33">
        <v>273228583.8335951</v>
      </c>
      <c r="W10" s="33">
        <v>228584841.33280367</v>
      </c>
      <c r="X10" s="33">
        <v>251094373.94100001</v>
      </c>
      <c r="Y10" s="33">
        <v>184672796.59924999</v>
      </c>
      <c r="Z10" s="33">
        <f t="shared" si="0"/>
        <v>2403883423.8445945</v>
      </c>
      <c r="AA10" s="33">
        <f t="shared" si="1"/>
        <v>1792940810.4820538</v>
      </c>
    </row>
    <row r="11" spans="1:27" x14ac:dyDescent="0.2">
      <c r="A11" s="21" t="s">
        <v>87</v>
      </c>
      <c r="B11" s="33">
        <v>7821180.29</v>
      </c>
      <c r="C11" s="33">
        <v>5004634.07</v>
      </c>
      <c r="D11" s="33">
        <v>8207797.7400000002</v>
      </c>
      <c r="E11" s="33">
        <v>5258843.79</v>
      </c>
      <c r="F11" s="33">
        <v>8735025.3900000006</v>
      </c>
      <c r="G11" s="33">
        <v>5575242.6899999995</v>
      </c>
      <c r="H11" s="33">
        <v>7422500.2799999993</v>
      </c>
      <c r="I11" s="33">
        <v>4728853.33</v>
      </c>
      <c r="J11" s="34">
        <v>8235603.4400000004</v>
      </c>
      <c r="K11" s="34">
        <v>5241653.21</v>
      </c>
      <c r="L11" s="33">
        <v>8855077.7999999989</v>
      </c>
      <c r="M11" s="33">
        <v>5629950.4500000002</v>
      </c>
      <c r="N11" s="33">
        <v>10437126.220000001</v>
      </c>
      <c r="O11" s="33">
        <v>6630524.5199999996</v>
      </c>
      <c r="P11" s="33">
        <v>10297910.17</v>
      </c>
      <c r="Q11" s="33">
        <v>6506526.8799999999</v>
      </c>
      <c r="R11" s="33">
        <v>10826745.09</v>
      </c>
      <c r="S11" s="33">
        <v>6815777.6399999997</v>
      </c>
      <c r="T11" s="33">
        <v>9940373.5800000001</v>
      </c>
      <c r="U11" s="33">
        <v>6330204.1300000008</v>
      </c>
      <c r="V11" s="33">
        <v>11519289.710000001</v>
      </c>
      <c r="W11" s="33">
        <v>7319080.29</v>
      </c>
      <c r="X11" s="33">
        <v>11553291.289999999</v>
      </c>
      <c r="Y11" s="33">
        <v>7319881.9500000002</v>
      </c>
      <c r="Z11" s="33">
        <f t="shared" si="0"/>
        <v>113851921</v>
      </c>
      <c r="AA11" s="33">
        <f t="shared" si="1"/>
        <v>72361172.949999988</v>
      </c>
    </row>
    <row r="12" spans="1:27" x14ac:dyDescent="0.2">
      <c r="A12" s="21" t="s">
        <v>88</v>
      </c>
      <c r="B12" s="33">
        <v>26400326.460000001</v>
      </c>
      <c r="C12" s="33">
        <v>19308075.57</v>
      </c>
      <c r="D12" s="33">
        <v>33829461.299999997</v>
      </c>
      <c r="E12" s="33">
        <v>24879639.240000002</v>
      </c>
      <c r="F12" s="33">
        <v>35198418.239999995</v>
      </c>
      <c r="G12" s="33">
        <v>25823919.969999999</v>
      </c>
      <c r="H12" s="33">
        <v>30131100.710000001</v>
      </c>
      <c r="I12" s="33">
        <v>22181931.079999998</v>
      </c>
      <c r="J12" s="34">
        <v>32017753.670000002</v>
      </c>
      <c r="K12" s="34">
        <v>23581160.48</v>
      </c>
      <c r="L12" s="33">
        <v>29910023.109999996</v>
      </c>
      <c r="M12" s="33">
        <v>21960006.039999999</v>
      </c>
      <c r="N12" s="33">
        <v>40880248.109999999</v>
      </c>
      <c r="O12" s="33">
        <v>30211021.68</v>
      </c>
      <c r="P12" s="33">
        <v>40152445.280000001</v>
      </c>
      <c r="Q12" s="33">
        <v>29661738.75</v>
      </c>
      <c r="R12" s="33">
        <v>41559879.020000003</v>
      </c>
      <c r="S12" s="33">
        <v>30783323.470000003</v>
      </c>
      <c r="T12" s="33">
        <v>40265516.149999999</v>
      </c>
      <c r="U12" s="33">
        <v>30082712.449999999</v>
      </c>
      <c r="V12" s="33">
        <v>45855544.019999996</v>
      </c>
      <c r="W12" s="33">
        <v>34006260.130000003</v>
      </c>
      <c r="X12" s="33">
        <v>46434061.950000003</v>
      </c>
      <c r="Y12" s="33">
        <v>34287693.399999999</v>
      </c>
      <c r="Z12" s="33">
        <f t="shared" si="0"/>
        <v>442634778.02000004</v>
      </c>
      <c r="AA12" s="33">
        <f t="shared" si="1"/>
        <v>326767482.25999993</v>
      </c>
    </row>
    <row r="13" spans="1:27" x14ac:dyDescent="0.2">
      <c r="A13" s="21" t="s">
        <v>89</v>
      </c>
      <c r="B13" s="33">
        <v>3884485.9299999997</v>
      </c>
      <c r="C13" s="33">
        <v>2744814.33</v>
      </c>
      <c r="D13" s="33">
        <v>4084766.31</v>
      </c>
      <c r="E13" s="33">
        <v>2885967.08</v>
      </c>
      <c r="F13" s="33">
        <v>4336277.78</v>
      </c>
      <c r="G13" s="33">
        <v>3068905.13</v>
      </c>
      <c r="H13" s="33">
        <v>3518829.65</v>
      </c>
      <c r="I13" s="33">
        <v>2496033.73</v>
      </c>
      <c r="J13" s="34">
        <v>3617005.81</v>
      </c>
      <c r="K13" s="34">
        <v>2561784.71</v>
      </c>
      <c r="L13" s="33">
        <v>3602175.8</v>
      </c>
      <c r="M13" s="33">
        <v>2542584.2599999998</v>
      </c>
      <c r="N13" s="33">
        <v>4354804.3499999996</v>
      </c>
      <c r="O13" s="33">
        <v>3069259.95</v>
      </c>
      <c r="P13" s="33">
        <v>4292783.21</v>
      </c>
      <c r="Q13" s="33">
        <v>3016159.0100000002</v>
      </c>
      <c r="R13" s="33">
        <v>4454979.42</v>
      </c>
      <c r="S13" s="33">
        <v>3137463.7199999997</v>
      </c>
      <c r="T13" s="33">
        <v>4322293.42</v>
      </c>
      <c r="U13" s="33">
        <v>3036984.73</v>
      </c>
      <c r="V13" s="33">
        <v>4595757.3899999997</v>
      </c>
      <c r="W13" s="33">
        <v>3225536.84</v>
      </c>
      <c r="X13" s="33">
        <v>4478449.05</v>
      </c>
      <c r="Y13" s="33">
        <v>3132833.86</v>
      </c>
      <c r="Z13" s="33">
        <f t="shared" si="0"/>
        <v>49542608.120000005</v>
      </c>
      <c r="AA13" s="33">
        <f t="shared" si="1"/>
        <v>34918327.349999994</v>
      </c>
    </row>
    <row r="14" spans="1:27" x14ac:dyDescent="0.2">
      <c r="A14" s="35" t="s">
        <v>28</v>
      </c>
      <c r="B14" s="36">
        <f>SUM(B3:B13)</f>
        <v>254422811.73999998</v>
      </c>
      <c r="C14" s="36">
        <f t="shared" ref="C14:M14" si="2">SUM(C3:C13)</f>
        <v>186039290.43000001</v>
      </c>
      <c r="D14" s="36">
        <f t="shared" si="2"/>
        <v>269738733.27999997</v>
      </c>
      <c r="E14" s="36">
        <f t="shared" si="2"/>
        <v>197220675.60000002</v>
      </c>
      <c r="F14" s="36">
        <f t="shared" si="2"/>
        <v>285422270.08999997</v>
      </c>
      <c r="G14" s="36">
        <f t="shared" si="2"/>
        <v>208764139.78999999</v>
      </c>
      <c r="H14" s="36">
        <f t="shared" si="2"/>
        <v>240095781.36000004</v>
      </c>
      <c r="I14" s="36">
        <f t="shared" si="2"/>
        <v>175764645.92999998</v>
      </c>
      <c r="J14" s="36">
        <f t="shared" si="2"/>
        <v>263138590.06999999</v>
      </c>
      <c r="K14" s="36">
        <f t="shared" si="2"/>
        <v>192607934.33000001</v>
      </c>
      <c r="L14" s="36">
        <f t="shared" si="2"/>
        <v>288692966.53000003</v>
      </c>
      <c r="M14" s="36">
        <f t="shared" si="2"/>
        <v>211542639.33999997</v>
      </c>
      <c r="N14" s="36">
        <f t="shared" ref="N14" si="3">SUM(N3:N13)</f>
        <v>345647426.18000007</v>
      </c>
      <c r="O14" s="36">
        <f t="shared" ref="O14" si="4">SUM(O3:O13)</f>
        <v>253254595.51000002</v>
      </c>
      <c r="P14" s="36">
        <f t="shared" ref="P14" si="5">SUM(P3:P13)</f>
        <v>339414768.22999996</v>
      </c>
      <c r="Q14" s="36">
        <f t="shared" ref="Q14" si="6">SUM(Q3:Q13)</f>
        <v>248294330.33000001</v>
      </c>
      <c r="R14" s="36">
        <f t="shared" ref="R14" si="7">SUM(R3:R13)</f>
        <v>356156584.63</v>
      </c>
      <c r="S14" s="36">
        <f t="shared" ref="S14" si="8">SUM(S3:S13)</f>
        <v>260672226.09</v>
      </c>
      <c r="T14" s="36">
        <f t="shared" ref="T14" si="9">SUM(T3:T13)</f>
        <v>343322746.09000003</v>
      </c>
      <c r="U14" s="36">
        <f t="shared" ref="U14" si="10">SUM(U3:U13)</f>
        <v>251683451.43999997</v>
      </c>
      <c r="V14" s="36">
        <f t="shared" ref="V14" si="11">SUM(V3:V13)</f>
        <v>410927847.49359506</v>
      </c>
      <c r="W14" s="36">
        <f t="shared" ref="W14" si="12">SUM(W3:W13)</f>
        <v>328653367.21280366</v>
      </c>
      <c r="X14" s="36">
        <f t="shared" ref="X14:Z14" si="13">SUM(X3:X13)</f>
        <v>394518243.17100006</v>
      </c>
      <c r="Y14" s="36">
        <f t="shared" ref="Y14:AA14" si="14">SUM(Y3:Y13)</f>
        <v>289315063.87924999</v>
      </c>
      <c r="Z14" s="36">
        <f t="shared" si="13"/>
        <v>3791498768.8645945</v>
      </c>
      <c r="AA14" s="36">
        <f t="shared" si="14"/>
        <v>2803812359.8820534</v>
      </c>
    </row>
    <row r="16" spans="1:27" ht="26.25" customHeight="1" x14ac:dyDescent="0.2">
      <c r="A16" s="25" t="s">
        <v>26</v>
      </c>
      <c r="B16" s="24" t="s">
        <v>77</v>
      </c>
      <c r="C16" s="25" t="s">
        <v>78</v>
      </c>
      <c r="D16" s="25" t="s">
        <v>28</v>
      </c>
      <c r="V16" s="37"/>
      <c r="W16" s="37"/>
      <c r="Z16" s="38"/>
    </row>
    <row r="17" spans="1:23" x14ac:dyDescent="0.2">
      <c r="A17" s="17" t="str">
        <f>A3</f>
        <v>ALAGOAS</v>
      </c>
      <c r="B17" s="18">
        <v>15042066.27</v>
      </c>
      <c r="C17" s="18">
        <v>9669898.7800000012</v>
      </c>
      <c r="D17" s="18">
        <f>SUM(B17:C17)</f>
        <v>24711965.050000001</v>
      </c>
      <c r="V17" s="37"/>
      <c r="W17" s="37"/>
    </row>
    <row r="18" spans="1:23" x14ac:dyDescent="0.2">
      <c r="A18" s="17" t="str">
        <f t="shared" ref="A18:A27" si="15">A4</f>
        <v>AMAZONAS</v>
      </c>
      <c r="B18" s="18">
        <v>129431137.67999999</v>
      </c>
      <c r="C18" s="18">
        <v>92053819.149999976</v>
      </c>
      <c r="D18" s="18">
        <f t="shared" ref="D18:D28" si="16">SUM(B18:C18)</f>
        <v>221484956.82999998</v>
      </c>
    </row>
    <row r="19" spans="1:23" x14ac:dyDescent="0.2">
      <c r="A19" s="17" t="str">
        <f t="shared" si="15"/>
        <v>BAHIA</v>
      </c>
      <c r="B19" s="18">
        <v>120773595.77000001</v>
      </c>
      <c r="C19" s="18">
        <v>72927400.810000002</v>
      </c>
      <c r="D19" s="18">
        <f t="shared" si="16"/>
        <v>193700996.58000001</v>
      </c>
    </row>
    <row r="20" spans="1:23" x14ac:dyDescent="0.2">
      <c r="A20" s="17" t="str">
        <f t="shared" si="15"/>
        <v>CEARA</v>
      </c>
      <c r="B20" s="18">
        <v>8766894.7799999993</v>
      </c>
      <c r="C20" s="18">
        <v>5646640.1899999995</v>
      </c>
      <c r="D20" s="18">
        <f t="shared" si="16"/>
        <v>14413534.969999999</v>
      </c>
    </row>
    <row r="21" spans="1:23" x14ac:dyDescent="0.2">
      <c r="A21" s="17" t="str">
        <f t="shared" si="15"/>
        <v>ESPIRITO SANTO</v>
      </c>
      <c r="B21" s="18">
        <v>471425750.28000003</v>
      </c>
      <c r="C21" s="18">
        <v>375039724.27000004</v>
      </c>
      <c r="D21" s="18">
        <f t="shared" si="16"/>
        <v>846465474.55000007</v>
      </c>
    </row>
    <row r="22" spans="1:23" x14ac:dyDescent="0.2">
      <c r="A22" s="17" t="str">
        <f t="shared" si="15"/>
        <v>MARANHAO</v>
      </c>
      <c r="B22" s="18">
        <v>28649444.880000003</v>
      </c>
      <c r="C22" s="18">
        <v>21487083.640000001</v>
      </c>
      <c r="D22" s="18">
        <f t="shared" si="16"/>
        <v>50136528.520000003</v>
      </c>
    </row>
    <row r="23" spans="1:23" x14ac:dyDescent="0.2">
      <c r="A23" s="17" t="str">
        <f t="shared" si="15"/>
        <v>PARANA</v>
      </c>
      <c r="B23" s="18">
        <v>7497148.2199999997</v>
      </c>
      <c r="C23" s="18">
        <v>0</v>
      </c>
      <c r="D23" s="18">
        <f t="shared" si="16"/>
        <v>7497148.2199999997</v>
      </c>
    </row>
    <row r="24" spans="1:23" x14ac:dyDescent="0.2">
      <c r="A24" s="17" t="str">
        <f t="shared" si="15"/>
        <v>RIO DE JANEIRO</v>
      </c>
      <c r="B24" s="18">
        <v>2403883423.8445945</v>
      </c>
      <c r="C24" s="18">
        <v>1792940810.4820538</v>
      </c>
      <c r="D24" s="18">
        <f t="shared" si="16"/>
        <v>4196824234.3266482</v>
      </c>
    </row>
    <row r="25" spans="1:23" x14ac:dyDescent="0.2">
      <c r="A25" s="17" t="str">
        <f t="shared" si="15"/>
        <v>RIO GRANDE DO NORTE</v>
      </c>
      <c r="B25" s="18">
        <v>113851921</v>
      </c>
      <c r="C25" s="18">
        <v>72361172.949999988</v>
      </c>
      <c r="D25" s="18">
        <f t="shared" si="16"/>
        <v>186213093.94999999</v>
      </c>
    </row>
    <row r="26" spans="1:23" x14ac:dyDescent="0.2">
      <c r="A26" s="17" t="str">
        <f t="shared" si="15"/>
        <v>SAO PAULO</v>
      </c>
      <c r="B26" s="18">
        <v>442634778.02000004</v>
      </c>
      <c r="C26" s="18">
        <v>326767482.25999993</v>
      </c>
      <c r="D26" s="18">
        <f t="shared" si="16"/>
        <v>769402260.27999997</v>
      </c>
    </row>
    <row r="27" spans="1:23" x14ac:dyDescent="0.2">
      <c r="A27" s="17" t="str">
        <f t="shared" si="15"/>
        <v>SERGIPE</v>
      </c>
      <c r="B27" s="18">
        <v>49542608.120000005</v>
      </c>
      <c r="C27" s="18">
        <v>34918327.349999994</v>
      </c>
      <c r="D27" s="18">
        <f t="shared" si="16"/>
        <v>84460935.469999999</v>
      </c>
    </row>
    <row r="28" spans="1:23" x14ac:dyDescent="0.2">
      <c r="A28" s="19" t="str">
        <f>A14</f>
        <v>TOTAL</v>
      </c>
      <c r="B28" s="20">
        <v>3791498768.8645945</v>
      </c>
      <c r="C28" s="20">
        <v>2803812359.8820534</v>
      </c>
      <c r="D28" s="20">
        <f t="shared" si="16"/>
        <v>6595311128.7466478</v>
      </c>
    </row>
    <row r="31" spans="1:23" x14ac:dyDescent="0.2">
      <c r="A31" s="27" t="s">
        <v>265</v>
      </c>
    </row>
  </sheetData>
  <mergeCells count="13">
    <mergeCell ref="Z1:AA1"/>
    <mergeCell ref="B1:C1"/>
    <mergeCell ref="D1:E1"/>
    <mergeCell ref="X1:Y1"/>
    <mergeCell ref="J1:K1"/>
    <mergeCell ref="L1:M1"/>
    <mergeCell ref="F1:G1"/>
    <mergeCell ref="H1:I1"/>
    <mergeCell ref="N1:O1"/>
    <mergeCell ref="P1:Q1"/>
    <mergeCell ref="R1:S1"/>
    <mergeCell ref="T1:U1"/>
    <mergeCell ref="V1:W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15"/>
  <sheetViews>
    <sheetView topLeftCell="A71" workbookViewId="0">
      <selection activeCell="D92" sqref="D92:E97"/>
    </sheetView>
  </sheetViews>
  <sheetFormatPr defaultRowHeight="12.75" x14ac:dyDescent="0.2"/>
  <cols>
    <col min="1" max="1" width="9.140625" style="27"/>
    <col min="2" max="2" width="20.140625" style="54" bestFit="1" customWidth="1"/>
    <col min="3" max="3" width="3.42578125" style="54" bestFit="1" customWidth="1"/>
    <col min="4" max="5" width="25.140625" style="27" bestFit="1" customWidth="1"/>
    <col min="6" max="6" width="20.7109375" style="27" customWidth="1"/>
    <col min="7" max="7" width="21" style="27" bestFit="1" customWidth="1"/>
    <col min="8" max="9" width="25.140625" style="27" bestFit="1" customWidth="1"/>
    <col min="10" max="10" width="19.85546875" style="27" bestFit="1" customWidth="1"/>
    <col min="11" max="27" width="21" style="27" bestFit="1" customWidth="1"/>
    <col min="28" max="29" width="25.140625" style="27" bestFit="1" customWidth="1"/>
    <col min="30" max="30" width="9.140625" style="27"/>
    <col min="31" max="31" width="15" style="27" bestFit="1" customWidth="1"/>
    <col min="32" max="33" width="14.28515625" style="27" bestFit="1" customWidth="1"/>
    <col min="34" max="16384" width="9.140625" style="27"/>
  </cols>
  <sheetData>
    <row r="1" spans="1:33" x14ac:dyDescent="0.2">
      <c r="B1" s="260" t="s">
        <v>210</v>
      </c>
      <c r="C1" s="262" t="s">
        <v>152</v>
      </c>
      <c r="D1" s="258">
        <v>43101</v>
      </c>
      <c r="E1" s="259"/>
      <c r="F1" s="258">
        <v>43132</v>
      </c>
      <c r="G1" s="259"/>
      <c r="H1" s="258">
        <v>43160</v>
      </c>
      <c r="I1" s="259"/>
      <c r="J1" s="258">
        <v>43191</v>
      </c>
      <c r="K1" s="259"/>
      <c r="L1" s="258">
        <v>43221</v>
      </c>
      <c r="M1" s="259"/>
      <c r="N1" s="258">
        <v>43252</v>
      </c>
      <c r="O1" s="259"/>
      <c r="P1" s="258">
        <v>43282</v>
      </c>
      <c r="Q1" s="259"/>
      <c r="R1" s="258">
        <v>43313</v>
      </c>
      <c r="S1" s="259"/>
      <c r="T1" s="258">
        <v>43344</v>
      </c>
      <c r="U1" s="259"/>
      <c r="V1" s="258">
        <v>43374</v>
      </c>
      <c r="W1" s="259"/>
      <c r="X1" s="258">
        <v>43405</v>
      </c>
      <c r="Y1" s="259"/>
      <c r="Z1" s="258">
        <v>43435</v>
      </c>
      <c r="AA1" s="259"/>
      <c r="AB1" s="264" t="s">
        <v>28</v>
      </c>
      <c r="AC1" s="264"/>
    </row>
    <row r="2" spans="1:33" x14ac:dyDescent="0.2">
      <c r="B2" s="261"/>
      <c r="C2" s="263"/>
      <c r="D2" s="40">
        <v>0.05</v>
      </c>
      <c r="E2" s="41" t="s">
        <v>2</v>
      </c>
      <c r="F2" s="40">
        <v>0.05</v>
      </c>
      <c r="G2" s="41" t="s">
        <v>2</v>
      </c>
      <c r="H2" s="40">
        <v>0.05</v>
      </c>
      <c r="I2" s="41" t="s">
        <v>2</v>
      </c>
      <c r="J2" s="40">
        <v>0.05</v>
      </c>
      <c r="K2" s="41" t="s">
        <v>2</v>
      </c>
      <c r="L2" s="40">
        <v>0.05</v>
      </c>
      <c r="M2" s="41" t="s">
        <v>2</v>
      </c>
      <c r="N2" s="40">
        <v>0.05</v>
      </c>
      <c r="O2" s="41" t="s">
        <v>2</v>
      </c>
      <c r="P2" s="40">
        <v>0.05</v>
      </c>
      <c r="Q2" s="41" t="s">
        <v>2</v>
      </c>
      <c r="R2" s="40">
        <v>0.05</v>
      </c>
      <c r="S2" s="41" t="s">
        <v>2</v>
      </c>
      <c r="T2" s="40">
        <v>0.05</v>
      </c>
      <c r="U2" s="41" t="s">
        <v>2</v>
      </c>
      <c r="V2" s="40">
        <v>0.05</v>
      </c>
      <c r="W2" s="41" t="s">
        <v>2</v>
      </c>
      <c r="X2" s="40">
        <v>0.05</v>
      </c>
      <c r="Y2" s="41" t="s">
        <v>2</v>
      </c>
      <c r="Z2" s="40">
        <v>0.05</v>
      </c>
      <c r="AA2" s="41" t="s">
        <v>2</v>
      </c>
      <c r="AB2" s="40">
        <v>0.05</v>
      </c>
      <c r="AC2" s="41" t="s">
        <v>2</v>
      </c>
    </row>
    <row r="3" spans="1:33" x14ac:dyDescent="0.2">
      <c r="A3" s="39"/>
      <c r="B3" s="42" t="s">
        <v>30</v>
      </c>
      <c r="C3" s="41" t="s">
        <v>4</v>
      </c>
      <c r="D3" s="43">
        <v>199778.45636522002</v>
      </c>
      <c r="E3" s="43">
        <v>171809.47247408924</v>
      </c>
      <c r="F3" s="43">
        <v>236198.02688925003</v>
      </c>
      <c r="G3" s="43">
        <v>203130.30312475507</v>
      </c>
      <c r="H3" s="43">
        <v>225611.68769260999</v>
      </c>
      <c r="I3" s="43">
        <v>194026.05141564464</v>
      </c>
      <c r="J3" s="43">
        <v>172860.067892263</v>
      </c>
      <c r="K3" s="43">
        <v>148659.65838734622</v>
      </c>
      <c r="L3" s="43">
        <v>103350.45019573998</v>
      </c>
      <c r="M3" s="43">
        <v>88881.387168336398</v>
      </c>
      <c r="N3" s="43">
        <v>96449.522393360021</v>
      </c>
      <c r="O3" s="43">
        <v>82946.589258289634</v>
      </c>
      <c r="P3" s="43">
        <v>321146.48</v>
      </c>
      <c r="Q3" s="43">
        <v>276185.96999999997</v>
      </c>
      <c r="R3" s="43">
        <v>222448.48</v>
      </c>
      <c r="S3" s="43">
        <v>191305.69</v>
      </c>
      <c r="T3" s="43">
        <v>295888.65000000002</v>
      </c>
      <c r="U3" s="43">
        <v>254464.24</v>
      </c>
      <c r="V3" s="43">
        <v>250415.8</v>
      </c>
      <c r="W3" s="43">
        <v>215357.59</v>
      </c>
      <c r="X3" s="43">
        <v>279826.59999999998</v>
      </c>
      <c r="Y3" s="43">
        <v>240650.88</v>
      </c>
      <c r="Z3" s="43">
        <v>265331.48</v>
      </c>
      <c r="AA3" s="43">
        <v>228185.07</v>
      </c>
      <c r="AB3" s="22">
        <f>(D3+F3+H3+J3+L3+N3+P3+R3+T3+V3+X3+Z3)</f>
        <v>2669305.7014284427</v>
      </c>
      <c r="AC3" s="44">
        <f>(E3+G3+I3+K3+M3+O3+Q3+S3+U3+W3+Y3+AA3)</f>
        <v>2295602.9018284609</v>
      </c>
    </row>
    <row r="4" spans="1:33" x14ac:dyDescent="0.2">
      <c r="A4" s="39"/>
      <c r="B4" s="268" t="s">
        <v>4</v>
      </c>
      <c r="C4" s="269"/>
      <c r="D4" s="45">
        <f>SUM(D3)</f>
        <v>199778.45636522002</v>
      </c>
      <c r="E4" s="45">
        <f t="shared" ref="E4:AA4" si="0">SUM(E3)</f>
        <v>171809.47247408924</v>
      </c>
      <c r="F4" s="45">
        <f t="shared" si="0"/>
        <v>236198.02688925003</v>
      </c>
      <c r="G4" s="45">
        <f t="shared" si="0"/>
        <v>203130.30312475507</v>
      </c>
      <c r="H4" s="45">
        <f t="shared" si="0"/>
        <v>225611.68769260999</v>
      </c>
      <c r="I4" s="45">
        <f t="shared" si="0"/>
        <v>194026.05141564464</v>
      </c>
      <c r="J4" s="45">
        <f t="shared" si="0"/>
        <v>172860.067892263</v>
      </c>
      <c r="K4" s="45">
        <f t="shared" si="0"/>
        <v>148659.65838734622</v>
      </c>
      <c r="L4" s="45">
        <f t="shared" si="0"/>
        <v>103350.45019573998</v>
      </c>
      <c r="M4" s="45">
        <f t="shared" si="0"/>
        <v>88881.387168336398</v>
      </c>
      <c r="N4" s="45">
        <f t="shared" si="0"/>
        <v>96449.522393360021</v>
      </c>
      <c r="O4" s="45">
        <f t="shared" si="0"/>
        <v>82946.589258289634</v>
      </c>
      <c r="P4" s="45">
        <f t="shared" si="0"/>
        <v>321146.48</v>
      </c>
      <c r="Q4" s="45">
        <f t="shared" si="0"/>
        <v>276185.96999999997</v>
      </c>
      <c r="R4" s="45">
        <f t="shared" si="0"/>
        <v>222448.48</v>
      </c>
      <c r="S4" s="45">
        <f t="shared" si="0"/>
        <v>191305.69</v>
      </c>
      <c r="T4" s="45">
        <f t="shared" si="0"/>
        <v>295888.65000000002</v>
      </c>
      <c r="U4" s="45">
        <f t="shared" si="0"/>
        <v>254464.24</v>
      </c>
      <c r="V4" s="45">
        <f t="shared" si="0"/>
        <v>250415.8</v>
      </c>
      <c r="W4" s="45">
        <f t="shared" si="0"/>
        <v>215357.59</v>
      </c>
      <c r="X4" s="45">
        <f t="shared" si="0"/>
        <v>279826.59999999998</v>
      </c>
      <c r="Y4" s="45">
        <f t="shared" si="0"/>
        <v>240650.88</v>
      </c>
      <c r="Z4" s="45">
        <f t="shared" si="0"/>
        <v>265331.48</v>
      </c>
      <c r="AA4" s="45">
        <f t="shared" si="0"/>
        <v>228185.07</v>
      </c>
      <c r="AB4" s="46">
        <f>SUM(AB3)</f>
        <v>2669305.7014284427</v>
      </c>
      <c r="AC4" s="46">
        <f>SUM(AC3)</f>
        <v>2295602.9018284609</v>
      </c>
    </row>
    <row r="5" spans="1:33" x14ac:dyDescent="0.2">
      <c r="A5" s="39"/>
      <c r="B5" s="42" t="s">
        <v>31</v>
      </c>
      <c r="C5" s="41" t="s">
        <v>10</v>
      </c>
      <c r="D5" s="43">
        <v>7161.8402934200003</v>
      </c>
      <c r="E5" s="43">
        <v>6159.182652341201</v>
      </c>
      <c r="F5" s="43">
        <v>8517.5920684150024</v>
      </c>
      <c r="G5" s="43">
        <v>7325.1291788369026</v>
      </c>
      <c r="H5" s="43">
        <v>6549.8354262380008</v>
      </c>
      <c r="I5" s="43">
        <v>5632.8584665646813</v>
      </c>
      <c r="J5" s="43">
        <v>8154.7962459749997</v>
      </c>
      <c r="K5" s="43">
        <v>7013.1247715385007</v>
      </c>
      <c r="L5" s="43">
        <v>8634.3435250800012</v>
      </c>
      <c r="M5" s="43">
        <v>7425.5354315688019</v>
      </c>
      <c r="N5" s="43">
        <v>8138.820305235</v>
      </c>
      <c r="O5" s="43">
        <v>6999.3854625021013</v>
      </c>
      <c r="P5" s="43">
        <v>462160.27</v>
      </c>
      <c r="Q5" s="43">
        <v>397457.84</v>
      </c>
      <c r="R5" s="43">
        <v>2985.26</v>
      </c>
      <c r="S5" s="43">
        <v>2567.33</v>
      </c>
      <c r="T5" s="43">
        <v>6767.35</v>
      </c>
      <c r="U5" s="43">
        <v>5819.92</v>
      </c>
      <c r="V5" s="43">
        <v>11433.23</v>
      </c>
      <c r="W5" s="43">
        <v>9832.58</v>
      </c>
      <c r="X5" s="43">
        <v>10834.41</v>
      </c>
      <c r="Y5" s="43">
        <v>9317.59</v>
      </c>
      <c r="Z5" s="43">
        <v>15797.42</v>
      </c>
      <c r="AA5" s="43">
        <v>13585.79</v>
      </c>
      <c r="AB5" s="44">
        <f>(D5+F5+H5+J5+L5+N5+P5+R5+T5+V5+X5+Z5)</f>
        <v>557135.16786436306</v>
      </c>
      <c r="AC5" s="44">
        <f>(E5+G5+I5+K5+M5+O5+Q5+S5+U5+W5+Y5+AA5)</f>
        <v>479136.26596335223</v>
      </c>
    </row>
    <row r="6" spans="1:33" x14ac:dyDescent="0.2">
      <c r="A6" s="39"/>
      <c r="B6" s="42" t="s">
        <v>71</v>
      </c>
      <c r="C6" s="41" t="s">
        <v>10</v>
      </c>
      <c r="D6" s="43">
        <v>39504.076423105165</v>
      </c>
      <c r="E6" s="43">
        <v>26072.690439249407</v>
      </c>
      <c r="F6" s="43">
        <v>45876.126987658805</v>
      </c>
      <c r="G6" s="43">
        <v>30278.24381185482</v>
      </c>
      <c r="H6" s="43">
        <v>48020.723878135337</v>
      </c>
      <c r="I6" s="43">
        <v>31693.677759569324</v>
      </c>
      <c r="J6" s="43">
        <v>36371.317711618249</v>
      </c>
      <c r="K6" s="43">
        <v>24005.069689668049</v>
      </c>
      <c r="L6" s="43">
        <v>41447.37177744801</v>
      </c>
      <c r="M6" s="43">
        <v>27355.265373115675</v>
      </c>
      <c r="N6" s="43">
        <v>46946.688206503735</v>
      </c>
      <c r="O6" s="43">
        <v>30984.814216292481</v>
      </c>
      <c r="P6" s="43">
        <v>50117.31</v>
      </c>
      <c r="Q6" s="43">
        <v>33077.43</v>
      </c>
      <c r="R6" s="43">
        <v>39419.79</v>
      </c>
      <c r="S6" s="43">
        <v>26017.07</v>
      </c>
      <c r="T6" s="43">
        <v>36070.54</v>
      </c>
      <c r="U6" s="43">
        <v>23806.560000000001</v>
      </c>
      <c r="V6" s="43">
        <v>41667.08</v>
      </c>
      <c r="W6" s="43">
        <v>27500.26</v>
      </c>
      <c r="X6" s="43">
        <v>51492.53</v>
      </c>
      <c r="Y6" s="43">
        <v>33985.07</v>
      </c>
      <c r="Z6" s="43">
        <v>52606.92</v>
      </c>
      <c r="AA6" s="43">
        <v>34720.559999999998</v>
      </c>
      <c r="AB6" s="44">
        <f t="shared" ref="AB6:AB8" si="1">(D6+F6+H6+J6+L6+N6+P6+R6+T6+V6+X6+Z6)</f>
        <v>529540.47498446936</v>
      </c>
      <c r="AC6" s="44">
        <f>(E6+G6+I6+K6+M6+O6+Q6+S6+U6+W6+Y6+AA6)</f>
        <v>349496.71128974977</v>
      </c>
    </row>
    <row r="7" spans="1:33" x14ac:dyDescent="0.2">
      <c r="A7" s="39"/>
      <c r="B7" s="42" t="s">
        <v>32</v>
      </c>
      <c r="C7" s="41" t="s">
        <v>10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0</v>
      </c>
      <c r="Y7" s="43">
        <v>0</v>
      </c>
      <c r="Z7" s="43">
        <v>0</v>
      </c>
      <c r="AA7" s="43">
        <v>0</v>
      </c>
      <c r="AB7" s="44">
        <f t="shared" si="1"/>
        <v>0</v>
      </c>
      <c r="AC7" s="44">
        <f>(E7+G7+I7+K7+M7+O7+Q7+S7+U7+W7+Y7+AA7)</f>
        <v>0</v>
      </c>
    </row>
    <row r="8" spans="1:33" x14ac:dyDescent="0.2">
      <c r="A8" s="39"/>
      <c r="B8" s="42" t="s">
        <v>33</v>
      </c>
      <c r="C8" s="41" t="s">
        <v>10</v>
      </c>
      <c r="D8" s="43">
        <v>4748742.4031124199</v>
      </c>
      <c r="E8" s="43">
        <v>2374371.2015562099</v>
      </c>
      <c r="F8" s="43">
        <v>5085320.6091698799</v>
      </c>
      <c r="G8" s="43">
        <v>2542660.30458494</v>
      </c>
      <c r="H8" s="43">
        <v>4108945.3598588854</v>
      </c>
      <c r="I8" s="43">
        <v>2054472.6799294427</v>
      </c>
      <c r="J8" s="43">
        <v>3671772.5900931894</v>
      </c>
      <c r="K8" s="43">
        <v>1835886.2950465947</v>
      </c>
      <c r="L8" s="43">
        <v>4032128.7487283396</v>
      </c>
      <c r="M8" s="43">
        <v>2016064.3743641698</v>
      </c>
      <c r="N8" s="43">
        <v>3694416.5646929853</v>
      </c>
      <c r="O8" s="43">
        <v>1847208.2823464926</v>
      </c>
      <c r="P8" s="43">
        <v>4598656.87</v>
      </c>
      <c r="Q8" s="43">
        <v>2299328.4300000002</v>
      </c>
      <c r="R8" s="43">
        <v>4433575.1500000004</v>
      </c>
      <c r="S8" s="43">
        <v>2216787.5699999998</v>
      </c>
      <c r="T8" s="43">
        <v>4714986.92</v>
      </c>
      <c r="U8" s="43">
        <v>2357493.46</v>
      </c>
      <c r="V8" s="43">
        <v>4759276.41</v>
      </c>
      <c r="W8" s="43">
        <v>2379638.2000000002</v>
      </c>
      <c r="X8" s="43">
        <v>4880939.1100000003</v>
      </c>
      <c r="Y8" s="43">
        <v>2440469.5499999998</v>
      </c>
      <c r="Z8" s="43">
        <v>4839278.07</v>
      </c>
      <c r="AA8" s="43">
        <v>2419639.04</v>
      </c>
      <c r="AB8" s="44">
        <f t="shared" si="1"/>
        <v>53568038.805655695</v>
      </c>
      <c r="AC8" s="44">
        <f>(E8+G8+I8+K8+M8+O8+Q8+S8+U8+W8+Y8+AA8)</f>
        <v>26784019.387827847</v>
      </c>
    </row>
    <row r="9" spans="1:33" x14ac:dyDescent="0.2">
      <c r="A9" s="39"/>
      <c r="B9" s="268" t="s">
        <v>10</v>
      </c>
      <c r="C9" s="269"/>
      <c r="D9" s="45">
        <f>SUM(D5:D8)</f>
        <v>4795408.3198289452</v>
      </c>
      <c r="E9" s="45">
        <f t="shared" ref="E9:AA9" si="2">SUM(E5:E8)</f>
        <v>2406603.0746478005</v>
      </c>
      <c r="F9" s="45">
        <f t="shared" si="2"/>
        <v>5139714.3282259535</v>
      </c>
      <c r="G9" s="45">
        <f t="shared" si="2"/>
        <v>2580263.6775756315</v>
      </c>
      <c r="H9" s="45">
        <f t="shared" si="2"/>
        <v>4163515.9191632587</v>
      </c>
      <c r="I9" s="45">
        <f t="shared" si="2"/>
        <v>2091799.2161555768</v>
      </c>
      <c r="J9" s="45">
        <f t="shared" si="2"/>
        <v>3716298.7040507826</v>
      </c>
      <c r="K9" s="45">
        <f t="shared" si="2"/>
        <v>1866904.4895078011</v>
      </c>
      <c r="L9" s="45">
        <f t="shared" si="2"/>
        <v>4082210.4640308674</v>
      </c>
      <c r="M9" s="45">
        <f t="shared" si="2"/>
        <v>2050845.1751688542</v>
      </c>
      <c r="N9" s="45">
        <f t="shared" si="2"/>
        <v>3749502.0732047241</v>
      </c>
      <c r="O9" s="45">
        <f t="shared" si="2"/>
        <v>1885192.4820252871</v>
      </c>
      <c r="P9" s="45">
        <f t="shared" si="2"/>
        <v>5110934.45</v>
      </c>
      <c r="Q9" s="45">
        <f t="shared" si="2"/>
        <v>2729863.7</v>
      </c>
      <c r="R9" s="45">
        <f t="shared" si="2"/>
        <v>4475980.2</v>
      </c>
      <c r="S9" s="45">
        <f t="shared" si="2"/>
        <v>2245371.9699999997</v>
      </c>
      <c r="T9" s="45">
        <f t="shared" si="2"/>
        <v>4757824.8099999996</v>
      </c>
      <c r="U9" s="45">
        <f t="shared" si="2"/>
        <v>2387119.94</v>
      </c>
      <c r="V9" s="45">
        <f t="shared" si="2"/>
        <v>4812376.72</v>
      </c>
      <c r="W9" s="45">
        <f t="shared" si="2"/>
        <v>2416971.04</v>
      </c>
      <c r="X9" s="45">
        <f t="shared" si="2"/>
        <v>4943266.0500000007</v>
      </c>
      <c r="Y9" s="45">
        <f t="shared" si="2"/>
        <v>2483772.21</v>
      </c>
      <c r="Z9" s="45">
        <f t="shared" si="2"/>
        <v>4907682.41</v>
      </c>
      <c r="AA9" s="45">
        <f t="shared" si="2"/>
        <v>2467945.39</v>
      </c>
      <c r="AB9" s="46">
        <f>SUM(AB5:AB8)</f>
        <v>54654714.44850453</v>
      </c>
      <c r="AC9" s="46">
        <f>SUM(AC5:AC8)</f>
        <v>27612652.365080949</v>
      </c>
    </row>
    <row r="10" spans="1:33" x14ac:dyDescent="0.2">
      <c r="A10" s="39"/>
      <c r="B10" s="42" t="s">
        <v>34</v>
      </c>
      <c r="C10" s="41" t="s">
        <v>11</v>
      </c>
      <c r="D10" s="43">
        <v>273930.66438962007</v>
      </c>
      <c r="E10" s="43">
        <v>273930.66438962007</v>
      </c>
      <c r="F10" s="43">
        <v>257053.09952067502</v>
      </c>
      <c r="G10" s="43">
        <v>257053.09952067502</v>
      </c>
      <c r="H10" s="43">
        <v>277458.50502267806</v>
      </c>
      <c r="I10" s="43">
        <v>277458.50502267806</v>
      </c>
      <c r="J10" s="43">
        <v>222405.69840401495</v>
      </c>
      <c r="K10" s="43">
        <v>222405.69840401495</v>
      </c>
      <c r="L10" s="43">
        <v>250783.81474560502</v>
      </c>
      <c r="M10" s="43">
        <v>250783.81474560502</v>
      </c>
      <c r="N10" s="43">
        <v>315800.11205311003</v>
      </c>
      <c r="O10" s="43">
        <v>315800.11205311003</v>
      </c>
      <c r="P10" s="43">
        <v>432644.5</v>
      </c>
      <c r="Q10" s="43">
        <v>432644.5</v>
      </c>
      <c r="R10" s="43">
        <v>446965.44</v>
      </c>
      <c r="S10" s="43">
        <v>446965.44</v>
      </c>
      <c r="T10" s="43">
        <v>444111.85</v>
      </c>
      <c r="U10" s="43">
        <v>444111.85</v>
      </c>
      <c r="V10" s="43">
        <v>567404.12</v>
      </c>
      <c r="W10" s="43">
        <v>567404.12</v>
      </c>
      <c r="X10" s="43">
        <v>595456.30000000005</v>
      </c>
      <c r="Y10" s="43">
        <v>595456.30000000005</v>
      </c>
      <c r="Z10" s="43">
        <v>583905.86</v>
      </c>
      <c r="AA10" s="43">
        <v>583905.86</v>
      </c>
      <c r="AB10" s="44">
        <f>(D10+F10+H10+J10+L10+N10+P10+R10+T10+V10+X10+Z10)</f>
        <v>4667919.9641357036</v>
      </c>
      <c r="AC10" s="44">
        <f t="shared" ref="AC10:AC14" si="3">(E10+G10+I10+K10+M10+O10+Q10+S10+U10+W10+Y10+AA10)</f>
        <v>4667919.9641357036</v>
      </c>
    </row>
    <row r="11" spans="1:33" x14ac:dyDescent="0.2">
      <c r="A11" s="39"/>
      <c r="B11" s="42" t="s">
        <v>72</v>
      </c>
      <c r="C11" s="41" t="s">
        <v>11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0</v>
      </c>
      <c r="Y11" s="43">
        <v>0</v>
      </c>
      <c r="Z11" s="43">
        <v>0</v>
      </c>
      <c r="AA11" s="43">
        <v>0</v>
      </c>
      <c r="AB11" s="44">
        <f t="shared" ref="AB11:AB14" si="4">(D11+F11+H11+J11+L11+N11+P11+R11+T11+V11+X11+Z11)</f>
        <v>0</v>
      </c>
      <c r="AC11" s="44">
        <f t="shared" si="3"/>
        <v>0</v>
      </c>
    </row>
    <row r="12" spans="1:33" x14ac:dyDescent="0.2">
      <c r="A12" s="39"/>
      <c r="B12" s="42" t="s">
        <v>73</v>
      </c>
      <c r="C12" s="41" t="s">
        <v>11</v>
      </c>
      <c r="D12" s="43">
        <v>345601.54675022501</v>
      </c>
      <c r="E12" s="43">
        <v>345601.54675022501</v>
      </c>
      <c r="F12" s="43">
        <v>294591.13808875001</v>
      </c>
      <c r="G12" s="43">
        <v>294591.13808875001</v>
      </c>
      <c r="H12" s="43">
        <v>282529.11350522208</v>
      </c>
      <c r="I12" s="43">
        <v>282529.11350522208</v>
      </c>
      <c r="J12" s="43">
        <v>268862.30959785503</v>
      </c>
      <c r="K12" s="43">
        <v>268862.30959785503</v>
      </c>
      <c r="L12" s="43">
        <v>350666.58033279004</v>
      </c>
      <c r="M12" s="43">
        <v>350666.58033279004</v>
      </c>
      <c r="N12" s="43">
        <v>452015.62481560011</v>
      </c>
      <c r="O12" s="43">
        <v>452015.62481560011</v>
      </c>
      <c r="P12" s="43">
        <v>535522.41</v>
      </c>
      <c r="Q12" s="43">
        <v>535522.41</v>
      </c>
      <c r="R12" s="43">
        <v>441259</v>
      </c>
      <c r="S12" s="43">
        <v>441259</v>
      </c>
      <c r="T12" s="43">
        <v>481276.33</v>
      </c>
      <c r="U12" s="43">
        <v>481276.33</v>
      </c>
      <c r="V12" s="43">
        <v>498603.87</v>
      </c>
      <c r="W12" s="43">
        <v>498603.87</v>
      </c>
      <c r="X12" s="43">
        <v>568119.5</v>
      </c>
      <c r="Y12" s="43">
        <v>568119.5</v>
      </c>
      <c r="Z12" s="43">
        <v>579303.03</v>
      </c>
      <c r="AA12" s="43">
        <v>579303.03</v>
      </c>
      <c r="AB12" s="44">
        <f t="shared" si="4"/>
        <v>5098350.4530904433</v>
      </c>
      <c r="AC12" s="44">
        <f t="shared" si="3"/>
        <v>5098350.4530904433</v>
      </c>
    </row>
    <row r="13" spans="1:33" x14ac:dyDescent="0.2">
      <c r="A13" s="39"/>
      <c r="B13" s="42" t="s">
        <v>35</v>
      </c>
      <c r="C13" s="41" t="s">
        <v>11</v>
      </c>
      <c r="D13" s="43">
        <v>317678.12511956505</v>
      </c>
      <c r="E13" s="43">
        <v>317678.12511956505</v>
      </c>
      <c r="F13" s="43">
        <v>313169.05598415004</v>
      </c>
      <c r="G13" s="43">
        <v>313169.05598415004</v>
      </c>
      <c r="H13" s="43">
        <v>327957.40599303204</v>
      </c>
      <c r="I13" s="43">
        <v>327957.40599303204</v>
      </c>
      <c r="J13" s="43">
        <v>302987.12178248999</v>
      </c>
      <c r="K13" s="43">
        <v>302987.12178248999</v>
      </c>
      <c r="L13" s="43">
        <v>324044.80439818004</v>
      </c>
      <c r="M13" s="43">
        <v>324044.80439818004</v>
      </c>
      <c r="N13" s="43">
        <v>368284.83357828</v>
      </c>
      <c r="O13" s="43">
        <v>368284.83357828</v>
      </c>
      <c r="P13" s="43">
        <v>438197.86</v>
      </c>
      <c r="Q13" s="43">
        <v>438197.86</v>
      </c>
      <c r="R13" s="43">
        <v>451958.39</v>
      </c>
      <c r="S13" s="43">
        <v>451958.39</v>
      </c>
      <c r="T13" s="43">
        <v>514763.19</v>
      </c>
      <c r="U13" s="43">
        <v>514763.19</v>
      </c>
      <c r="V13" s="43">
        <v>454158.08000000002</v>
      </c>
      <c r="W13" s="43">
        <v>454158.08000000002</v>
      </c>
      <c r="X13" s="43">
        <v>479401.67</v>
      </c>
      <c r="Y13" s="43">
        <v>479401.67</v>
      </c>
      <c r="Z13" s="43">
        <v>451116.95</v>
      </c>
      <c r="AA13" s="43">
        <v>451116.95</v>
      </c>
      <c r="AB13" s="44">
        <f t="shared" si="4"/>
        <v>4743717.4868556978</v>
      </c>
      <c r="AC13" s="44">
        <f t="shared" si="3"/>
        <v>4743717.4868556978</v>
      </c>
    </row>
    <row r="14" spans="1:33" x14ac:dyDescent="0.2">
      <c r="A14" s="39"/>
      <c r="B14" s="42" t="s">
        <v>74</v>
      </c>
      <c r="C14" s="41" t="s">
        <v>11</v>
      </c>
      <c r="D14" s="43">
        <v>348144.682333595</v>
      </c>
      <c r="E14" s="43">
        <v>348144.682333595</v>
      </c>
      <c r="F14" s="43">
        <v>398840.99755784997</v>
      </c>
      <c r="G14" s="43">
        <v>398840.99755784997</v>
      </c>
      <c r="H14" s="43">
        <v>417841.89284255606</v>
      </c>
      <c r="I14" s="43">
        <v>417841.89284255606</v>
      </c>
      <c r="J14" s="43">
        <v>339146.40064179496</v>
      </c>
      <c r="K14" s="43">
        <v>339146.40064179496</v>
      </c>
      <c r="L14" s="43">
        <v>403215.30917423009</v>
      </c>
      <c r="M14" s="43">
        <v>403215.30917423009</v>
      </c>
      <c r="N14" s="43">
        <v>424531.75429427001</v>
      </c>
      <c r="O14" s="43">
        <v>424531.75429427001</v>
      </c>
      <c r="P14" s="43">
        <v>486429.27</v>
      </c>
      <c r="Q14" s="43">
        <v>486429.27</v>
      </c>
      <c r="R14" s="43">
        <v>505075.83</v>
      </c>
      <c r="S14" s="43">
        <v>505075.83</v>
      </c>
      <c r="T14" s="43">
        <v>519608.21</v>
      </c>
      <c r="U14" s="43">
        <v>519608.21</v>
      </c>
      <c r="V14" s="43">
        <v>487969.7</v>
      </c>
      <c r="W14" s="43">
        <v>487969.7</v>
      </c>
      <c r="X14" s="43">
        <v>482199.74</v>
      </c>
      <c r="Y14" s="43">
        <v>482199.74</v>
      </c>
      <c r="Z14" s="43">
        <v>499823.4</v>
      </c>
      <c r="AA14" s="43">
        <v>499823.4</v>
      </c>
      <c r="AB14" s="44">
        <f t="shared" si="4"/>
        <v>5312827.1868442968</v>
      </c>
      <c r="AC14" s="44">
        <f t="shared" si="3"/>
        <v>5312827.1868442968</v>
      </c>
    </row>
    <row r="15" spans="1:33" x14ac:dyDescent="0.2">
      <c r="A15" s="39"/>
      <c r="B15" s="268" t="s">
        <v>11</v>
      </c>
      <c r="C15" s="269"/>
      <c r="D15" s="45">
        <f>SUM(D10:D14)</f>
        <v>1285355.0185930051</v>
      </c>
      <c r="E15" s="45">
        <f t="shared" ref="E15:AA15" si="5">SUM(E10:E14)</f>
        <v>1285355.0185930051</v>
      </c>
      <c r="F15" s="45">
        <f t="shared" si="5"/>
        <v>1263654.2911514251</v>
      </c>
      <c r="G15" s="45">
        <f t="shared" si="5"/>
        <v>1263654.2911514251</v>
      </c>
      <c r="H15" s="45">
        <f t="shared" si="5"/>
        <v>1305786.9173634883</v>
      </c>
      <c r="I15" s="45">
        <f t="shared" si="5"/>
        <v>1305786.9173634883</v>
      </c>
      <c r="J15" s="45">
        <f t="shared" si="5"/>
        <v>1133401.5304261551</v>
      </c>
      <c r="K15" s="45">
        <f t="shared" si="5"/>
        <v>1133401.5304261551</v>
      </c>
      <c r="L15" s="45">
        <f t="shared" si="5"/>
        <v>1328710.5086508051</v>
      </c>
      <c r="M15" s="45">
        <f t="shared" si="5"/>
        <v>1328710.5086508051</v>
      </c>
      <c r="N15" s="45">
        <f t="shared" si="5"/>
        <v>1560632.3247412601</v>
      </c>
      <c r="O15" s="45">
        <f t="shared" si="5"/>
        <v>1560632.3247412601</v>
      </c>
      <c r="P15" s="45">
        <f t="shared" si="5"/>
        <v>1892794.04</v>
      </c>
      <c r="Q15" s="45">
        <f t="shared" si="5"/>
        <v>1892794.04</v>
      </c>
      <c r="R15" s="45">
        <f t="shared" si="5"/>
        <v>1845258.6600000001</v>
      </c>
      <c r="S15" s="45">
        <f t="shared" si="5"/>
        <v>1845258.6600000001</v>
      </c>
      <c r="T15" s="45">
        <f t="shared" si="5"/>
        <v>1959759.5799999998</v>
      </c>
      <c r="U15" s="45">
        <f t="shared" si="5"/>
        <v>1959759.5799999998</v>
      </c>
      <c r="V15" s="45">
        <f t="shared" si="5"/>
        <v>2008135.77</v>
      </c>
      <c r="W15" s="45">
        <f t="shared" si="5"/>
        <v>2008135.77</v>
      </c>
      <c r="X15" s="45">
        <f t="shared" si="5"/>
        <v>2125177.21</v>
      </c>
      <c r="Y15" s="45">
        <f t="shared" si="5"/>
        <v>2125177.21</v>
      </c>
      <c r="Z15" s="45">
        <f t="shared" si="5"/>
        <v>2114149.2400000002</v>
      </c>
      <c r="AA15" s="45">
        <f t="shared" si="5"/>
        <v>2114149.2400000002</v>
      </c>
      <c r="AB15" s="46">
        <f>SUM(AB10:AB14)</f>
        <v>19822815.090926141</v>
      </c>
      <c r="AC15" s="46">
        <f>SUM(AC10:AC14)</f>
        <v>19822815.090926141</v>
      </c>
    </row>
    <row r="16" spans="1:33" x14ac:dyDescent="0.2">
      <c r="A16" s="39"/>
      <c r="B16" s="42" t="s">
        <v>36</v>
      </c>
      <c r="C16" s="41" t="s">
        <v>12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4">
        <f>(D16+F16+H16+J16+L16+N16+P16+R16+T16+V16+X16+Z16)</f>
        <v>0</v>
      </c>
      <c r="AC16" s="44">
        <f t="shared" ref="AC16:AC33" si="6">(E16+G16+I16+K16+M16+O16+Q16+S16+U16+W16+Y16+AA16)</f>
        <v>0</v>
      </c>
      <c r="AF16" s="37"/>
      <c r="AG16" s="37"/>
    </row>
    <row r="17" spans="1:33" x14ac:dyDescent="0.2">
      <c r="A17" s="39"/>
      <c r="B17" s="42" t="s">
        <v>37</v>
      </c>
      <c r="C17" s="41" t="s">
        <v>12</v>
      </c>
      <c r="D17" s="43">
        <v>8486219.023112135</v>
      </c>
      <c r="E17" s="43">
        <v>8486219.023112135</v>
      </c>
      <c r="F17" s="43">
        <v>9051564.0328581687</v>
      </c>
      <c r="G17" s="43">
        <v>9051564.0328581687</v>
      </c>
      <c r="H17" s="43">
        <v>9393163.2481070329</v>
      </c>
      <c r="I17" s="43">
        <v>9393163.2481070329</v>
      </c>
      <c r="J17" s="43">
        <v>8009854.7154055359</v>
      </c>
      <c r="K17" s="43">
        <v>8009854.7154055359</v>
      </c>
      <c r="L17" s="43">
        <v>7177665.8250958631</v>
      </c>
      <c r="M17" s="43">
        <v>7177665.8250958631</v>
      </c>
      <c r="N17" s="43">
        <v>8150915.9793448038</v>
      </c>
      <c r="O17" s="43">
        <v>8150915.9793448038</v>
      </c>
      <c r="P17" s="43">
        <v>8861267.8200000003</v>
      </c>
      <c r="Q17" s="43">
        <v>8861267.8200000003</v>
      </c>
      <c r="R17" s="43">
        <v>7754973.5800000001</v>
      </c>
      <c r="S17" s="43">
        <v>7754973.5800000001</v>
      </c>
      <c r="T17" s="43">
        <v>233189.73</v>
      </c>
      <c r="U17" s="43">
        <v>233189.73</v>
      </c>
      <c r="V17" s="43">
        <v>12331089.08</v>
      </c>
      <c r="W17" s="43">
        <v>12331089.08</v>
      </c>
      <c r="X17" s="43">
        <v>11321295.42</v>
      </c>
      <c r="Y17" s="43">
        <v>11321295.42</v>
      </c>
      <c r="Z17" s="43">
        <v>14263313.199999999</v>
      </c>
      <c r="AA17" s="43">
        <v>14263313.199999999</v>
      </c>
      <c r="AB17" s="44">
        <f t="shared" ref="AB17:AB32" si="7">(D17+F17+H17+J17+L17+N17+P17+R17+T17+V17+X17+Z17)</f>
        <v>105034511.65392354</v>
      </c>
      <c r="AC17" s="44">
        <f t="shared" si="6"/>
        <v>105034511.65392354</v>
      </c>
      <c r="AF17" s="37"/>
      <c r="AG17" s="37"/>
    </row>
    <row r="18" spans="1:33" x14ac:dyDescent="0.2">
      <c r="A18" s="39"/>
      <c r="B18" s="42" t="s">
        <v>38</v>
      </c>
      <c r="C18" s="41" t="s">
        <v>12</v>
      </c>
      <c r="D18" s="43">
        <v>244104.63990636502</v>
      </c>
      <c r="E18" s="43">
        <v>244104.63990636502</v>
      </c>
      <c r="F18" s="43">
        <v>1240125.184355825</v>
      </c>
      <c r="G18" s="43">
        <v>1240125.184355825</v>
      </c>
      <c r="H18" s="43">
        <v>2094114.5827836106</v>
      </c>
      <c r="I18" s="43">
        <v>2094114.5827836106</v>
      </c>
      <c r="J18" s="43">
        <v>1448413.31799808</v>
      </c>
      <c r="K18" s="43">
        <v>1448413.31799808</v>
      </c>
      <c r="L18" s="43">
        <v>1762878.4270039399</v>
      </c>
      <c r="M18" s="43">
        <v>1762878.4270039399</v>
      </c>
      <c r="N18" s="43">
        <v>1828757.0207699602</v>
      </c>
      <c r="O18" s="43">
        <v>1828757.0207699602</v>
      </c>
      <c r="P18" s="43">
        <v>2187030.98</v>
      </c>
      <c r="Q18" s="43">
        <v>2187030.98</v>
      </c>
      <c r="R18" s="43">
        <v>1837395.44</v>
      </c>
      <c r="S18" s="43">
        <v>1837395.44</v>
      </c>
      <c r="T18" s="43">
        <v>1985709.87</v>
      </c>
      <c r="U18" s="43">
        <v>1985709.87</v>
      </c>
      <c r="V18" s="43">
        <v>2112971.91</v>
      </c>
      <c r="W18" s="43">
        <v>2112971.91</v>
      </c>
      <c r="X18" s="43">
        <v>2262308.2400000002</v>
      </c>
      <c r="Y18" s="43">
        <v>2262308.2400000002</v>
      </c>
      <c r="Z18" s="43">
        <v>2032010.85</v>
      </c>
      <c r="AA18" s="43">
        <v>2032010.85</v>
      </c>
      <c r="AB18" s="44">
        <f t="shared" si="7"/>
        <v>21035820.462817781</v>
      </c>
      <c r="AC18" s="44">
        <f t="shared" si="6"/>
        <v>21035820.462817781</v>
      </c>
      <c r="AF18" s="37"/>
      <c r="AG18" s="37"/>
    </row>
    <row r="19" spans="1:33" x14ac:dyDescent="0.2">
      <c r="A19" s="39"/>
      <c r="B19" s="42" t="s">
        <v>39</v>
      </c>
      <c r="C19" s="41" t="s">
        <v>12</v>
      </c>
      <c r="D19" s="43">
        <v>14107899.926101696</v>
      </c>
      <c r="E19" s="43">
        <v>14107899.926101696</v>
      </c>
      <c r="F19" s="43">
        <v>14371863.529943511</v>
      </c>
      <c r="G19" s="43">
        <v>14371863.529943511</v>
      </c>
      <c r="H19" s="43">
        <v>12812670.606563156</v>
      </c>
      <c r="I19" s="43">
        <v>12812670.606563156</v>
      </c>
      <c r="J19" s="43">
        <v>10734922.449153047</v>
      </c>
      <c r="K19" s="43">
        <v>10734922.449153047</v>
      </c>
      <c r="L19" s="43">
        <v>11801675.947122835</v>
      </c>
      <c r="M19" s="43">
        <v>11801675.947122835</v>
      </c>
      <c r="N19" s="43">
        <v>12325415.824916406</v>
      </c>
      <c r="O19" s="43">
        <v>12325415.824916406</v>
      </c>
      <c r="P19" s="43">
        <v>14203721.18</v>
      </c>
      <c r="Q19" s="43">
        <v>14203721.18</v>
      </c>
      <c r="R19" s="43">
        <v>12863615.029999999</v>
      </c>
      <c r="S19" s="43">
        <v>12863615.029999999</v>
      </c>
      <c r="T19" s="43">
        <v>14279990.050000001</v>
      </c>
      <c r="U19" s="43">
        <v>14279990.050000001</v>
      </c>
      <c r="V19" s="43">
        <v>14528382.939999999</v>
      </c>
      <c r="W19" s="43">
        <v>14528382.939999999</v>
      </c>
      <c r="X19" s="43">
        <v>14567947.43</v>
      </c>
      <c r="Y19" s="43">
        <v>14567947.43</v>
      </c>
      <c r="Z19" s="43">
        <v>14072858.439999999</v>
      </c>
      <c r="AA19" s="43">
        <v>14072858.439999999</v>
      </c>
      <c r="AB19" s="44">
        <f t="shared" si="7"/>
        <v>160670963.35380062</v>
      </c>
      <c r="AC19" s="44">
        <f t="shared" si="6"/>
        <v>160670963.35380062</v>
      </c>
      <c r="AF19" s="37"/>
      <c r="AG19" s="37"/>
    </row>
    <row r="20" spans="1:33" x14ac:dyDescent="0.2">
      <c r="A20" s="39"/>
      <c r="B20" s="42" t="s">
        <v>40</v>
      </c>
      <c r="C20" s="41" t="s">
        <v>12</v>
      </c>
      <c r="D20" s="43">
        <v>11370929.739368575</v>
      </c>
      <c r="E20" s="43">
        <v>11370929.739368575</v>
      </c>
      <c r="F20" s="43">
        <v>12876112.225431167</v>
      </c>
      <c r="G20" s="43">
        <v>12876112.225431167</v>
      </c>
      <c r="H20" s="43">
        <v>12576169.11270334</v>
      </c>
      <c r="I20" s="43">
        <v>12576169.11270334</v>
      </c>
      <c r="J20" s="43">
        <v>10228661.14127342</v>
      </c>
      <c r="K20" s="43">
        <v>10228661.14127342</v>
      </c>
      <c r="L20" s="43">
        <v>12625060.73647554</v>
      </c>
      <c r="M20" s="43">
        <v>12625060.73647554</v>
      </c>
      <c r="N20" s="43">
        <v>12987581.274555946</v>
      </c>
      <c r="O20" s="43">
        <v>12987581.274555946</v>
      </c>
      <c r="P20" s="43">
        <v>15168004.67</v>
      </c>
      <c r="Q20" s="43">
        <v>15168004.67</v>
      </c>
      <c r="R20" s="43">
        <v>11881641.609999999</v>
      </c>
      <c r="S20" s="43">
        <v>11881641.609999999</v>
      </c>
      <c r="T20" s="43">
        <v>16926584.879999999</v>
      </c>
      <c r="U20" s="43">
        <v>16926584.879999999</v>
      </c>
      <c r="V20" s="43">
        <v>17941514.640000001</v>
      </c>
      <c r="W20" s="43">
        <v>17941514.640000001</v>
      </c>
      <c r="X20" s="43">
        <v>14634193.970000001</v>
      </c>
      <c r="Y20" s="43">
        <v>14634193.970000001</v>
      </c>
      <c r="Z20" s="43">
        <v>17201487.670000002</v>
      </c>
      <c r="AA20" s="43">
        <v>17201487.670000002</v>
      </c>
      <c r="AB20" s="44">
        <f t="shared" si="7"/>
        <v>166417941.66980797</v>
      </c>
      <c r="AC20" s="44">
        <f t="shared" si="6"/>
        <v>166417941.66980797</v>
      </c>
      <c r="AF20" s="37"/>
      <c r="AG20" s="37"/>
    </row>
    <row r="21" spans="1:33" x14ac:dyDescent="0.2">
      <c r="A21" s="39"/>
      <c r="B21" s="42" t="s">
        <v>75</v>
      </c>
      <c r="C21" s="41" t="s">
        <v>12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4">
        <f t="shared" si="7"/>
        <v>0</v>
      </c>
      <c r="AC21" s="44">
        <f t="shared" si="6"/>
        <v>0</v>
      </c>
      <c r="AF21" s="37"/>
      <c r="AG21" s="37"/>
    </row>
    <row r="22" spans="1:33" x14ac:dyDescent="0.2">
      <c r="A22" s="39"/>
      <c r="B22" s="42" t="s">
        <v>41</v>
      </c>
      <c r="C22" s="41" t="s">
        <v>12</v>
      </c>
      <c r="D22" s="43">
        <v>3451310.2628783798</v>
      </c>
      <c r="E22" s="43">
        <v>3451310.2628783798</v>
      </c>
      <c r="F22" s="43">
        <v>4420952.7308333004</v>
      </c>
      <c r="G22" s="43">
        <v>4420952.7308333004</v>
      </c>
      <c r="H22" s="43">
        <v>1856018.00446897</v>
      </c>
      <c r="I22" s="43">
        <v>1856018.00446897</v>
      </c>
      <c r="J22" s="43">
        <v>1960744.1147685298</v>
      </c>
      <c r="K22" s="43">
        <v>1960744.1147685298</v>
      </c>
      <c r="L22" s="43">
        <v>2521804.4652652801</v>
      </c>
      <c r="M22" s="43">
        <v>2521804.4652652801</v>
      </c>
      <c r="N22" s="43">
        <v>7555118.4564772099</v>
      </c>
      <c r="O22" s="43">
        <v>7555118.4564772099</v>
      </c>
      <c r="P22" s="43">
        <v>5906062.8200000003</v>
      </c>
      <c r="Q22" s="43">
        <v>5906062.8200000003</v>
      </c>
      <c r="R22" s="43">
        <v>7831173.1299999999</v>
      </c>
      <c r="S22" s="43">
        <v>7831173.1299999999</v>
      </c>
      <c r="T22" s="43">
        <v>7627027.2400000002</v>
      </c>
      <c r="U22" s="43">
        <v>7627027.2400000002</v>
      </c>
      <c r="V22" s="43">
        <v>7183939.2000000002</v>
      </c>
      <c r="W22" s="43">
        <v>7183939.2000000002</v>
      </c>
      <c r="X22" s="43">
        <v>7568000.04</v>
      </c>
      <c r="Y22" s="43">
        <v>7568000.04</v>
      </c>
      <c r="Z22" s="43">
        <v>9267670.7699999996</v>
      </c>
      <c r="AA22" s="43">
        <v>9267670.7699999996</v>
      </c>
      <c r="AB22" s="44">
        <f t="shared" si="7"/>
        <v>67149821.234691679</v>
      </c>
      <c r="AC22" s="44">
        <f t="shared" si="6"/>
        <v>67149821.234691679</v>
      </c>
      <c r="AF22" s="37"/>
      <c r="AG22" s="37"/>
    </row>
    <row r="23" spans="1:33" x14ac:dyDescent="0.2">
      <c r="A23" s="39"/>
      <c r="B23" s="42" t="s">
        <v>42</v>
      </c>
      <c r="C23" s="41" t="s">
        <v>12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4">
        <f t="shared" si="7"/>
        <v>0</v>
      </c>
      <c r="AC23" s="44">
        <f t="shared" si="6"/>
        <v>0</v>
      </c>
      <c r="AF23" s="37"/>
      <c r="AG23" s="37"/>
    </row>
    <row r="24" spans="1:33" x14ac:dyDescent="0.2">
      <c r="A24" s="39"/>
      <c r="B24" s="42" t="s">
        <v>43</v>
      </c>
      <c r="C24" s="41" t="s">
        <v>12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4">
        <f t="shared" si="7"/>
        <v>0</v>
      </c>
      <c r="AC24" s="44">
        <f t="shared" si="6"/>
        <v>0</v>
      </c>
      <c r="AF24" s="37"/>
      <c r="AG24" s="37"/>
    </row>
    <row r="25" spans="1:33" x14ac:dyDescent="0.2">
      <c r="A25" s="39"/>
      <c r="B25" s="42" t="s">
        <v>44</v>
      </c>
      <c r="C25" s="41" t="s">
        <v>12</v>
      </c>
      <c r="D25" s="43">
        <v>522703.95588855492</v>
      </c>
      <c r="E25" s="43">
        <v>522703.95588855492</v>
      </c>
      <c r="F25" s="43">
        <v>364982.39679933502</v>
      </c>
      <c r="G25" s="43">
        <v>364982.39679933502</v>
      </c>
      <c r="H25" s="43">
        <v>410593.64849852503</v>
      </c>
      <c r="I25" s="43">
        <v>410593.64849852503</v>
      </c>
      <c r="J25" s="43">
        <v>372587.76246129401</v>
      </c>
      <c r="K25" s="43">
        <v>372587.76246129401</v>
      </c>
      <c r="L25" s="43">
        <v>444075.56370373</v>
      </c>
      <c r="M25" s="43">
        <v>444075.56370373</v>
      </c>
      <c r="N25" s="43">
        <v>438493.09052174003</v>
      </c>
      <c r="O25" s="43">
        <v>438493.09052174003</v>
      </c>
      <c r="P25" s="43">
        <v>494297.29</v>
      </c>
      <c r="Q25" s="43">
        <v>494297.29</v>
      </c>
      <c r="R25" s="43">
        <v>467157.31</v>
      </c>
      <c r="S25" s="43">
        <v>467157.31</v>
      </c>
      <c r="T25" s="43">
        <v>456284.11</v>
      </c>
      <c r="U25" s="43">
        <v>456284.11</v>
      </c>
      <c r="V25" s="43">
        <v>454658.69</v>
      </c>
      <c r="W25" s="43">
        <v>454658.69</v>
      </c>
      <c r="X25" s="43">
        <v>459119.11</v>
      </c>
      <c r="Y25" s="43">
        <v>459119.11</v>
      </c>
      <c r="Z25" s="43">
        <v>434210.37</v>
      </c>
      <c r="AA25" s="43">
        <v>434210.37</v>
      </c>
      <c r="AB25" s="44">
        <f t="shared" si="7"/>
        <v>5319163.2978731794</v>
      </c>
      <c r="AC25" s="44">
        <f t="shared" si="6"/>
        <v>5319163.2978731794</v>
      </c>
      <c r="AF25" s="37"/>
      <c r="AG25" s="37"/>
    </row>
    <row r="26" spans="1:33" x14ac:dyDescent="0.2">
      <c r="A26" s="39"/>
      <c r="B26" s="42" t="s">
        <v>45</v>
      </c>
      <c r="C26" s="41" t="s">
        <v>12</v>
      </c>
      <c r="D26" s="43">
        <v>157366.91182196501</v>
      </c>
      <c r="E26" s="43">
        <v>119598.85298469343</v>
      </c>
      <c r="F26" s="43">
        <v>155553.24012117999</v>
      </c>
      <c r="G26" s="43">
        <v>118220.46249209681</v>
      </c>
      <c r="H26" s="43">
        <v>148280.24184864</v>
      </c>
      <c r="I26" s="43">
        <v>112692.98380496642</v>
      </c>
      <c r="J26" s="43">
        <v>68232.563538656992</v>
      </c>
      <c r="K26" s="43">
        <v>51856.74828937932</v>
      </c>
      <c r="L26" s="43">
        <v>0</v>
      </c>
      <c r="M26" s="43">
        <v>0</v>
      </c>
      <c r="N26" s="43">
        <v>26906.777049885</v>
      </c>
      <c r="O26" s="43">
        <v>20449.150557912602</v>
      </c>
      <c r="P26" s="43">
        <v>84052.11</v>
      </c>
      <c r="Q26" s="43">
        <v>63879.6</v>
      </c>
      <c r="R26" s="43">
        <v>77477.37</v>
      </c>
      <c r="S26" s="43">
        <v>58882.8</v>
      </c>
      <c r="T26" s="43">
        <v>75900.039999999994</v>
      </c>
      <c r="U26" s="43">
        <v>57684.03</v>
      </c>
      <c r="V26" s="43">
        <v>121909.23</v>
      </c>
      <c r="W26" s="43">
        <v>92651.01</v>
      </c>
      <c r="X26" s="43">
        <v>155273.5</v>
      </c>
      <c r="Y26" s="43">
        <v>118007.86</v>
      </c>
      <c r="Z26" s="43">
        <v>130312.81</v>
      </c>
      <c r="AA26" s="43">
        <v>99037.73</v>
      </c>
      <c r="AB26" s="44">
        <f t="shared" si="7"/>
        <v>1201264.7943803272</v>
      </c>
      <c r="AC26" s="44">
        <f t="shared" si="6"/>
        <v>912961.2281290486</v>
      </c>
      <c r="AF26" s="37"/>
      <c r="AG26" s="37"/>
    </row>
    <row r="27" spans="1:33" x14ac:dyDescent="0.2">
      <c r="A27" s="39"/>
      <c r="B27" s="42" t="s">
        <v>46</v>
      </c>
      <c r="C27" s="41" t="s">
        <v>12</v>
      </c>
      <c r="D27" s="43">
        <f>4649438.28511958*0.2675%</f>
        <v>12437.247412694878</v>
      </c>
      <c r="E27" s="43">
        <f>4649438.28511958*0.2675%</f>
        <v>12437.247412694878</v>
      </c>
      <c r="F27" s="43">
        <f>5318324.55333876*0.2675%</f>
        <v>14226.518180181183</v>
      </c>
      <c r="G27" s="43">
        <f>5318324.55333876*0.2675%</f>
        <v>14226.518180181183</v>
      </c>
      <c r="H27" s="43">
        <f>5173437.45040963*0.2675%</f>
        <v>13838.945179845763</v>
      </c>
      <c r="I27" s="43">
        <f>5173437.45040963*0.2675%</f>
        <v>13838.945179845763</v>
      </c>
      <c r="J27" s="43">
        <f>4433627.30809326*0.2675%</f>
        <v>11859.953049149472</v>
      </c>
      <c r="K27" s="43">
        <f>4433627.30809326*0.2675%</f>
        <v>11859.953049149472</v>
      </c>
      <c r="L27" s="43">
        <f>5064264.4634151*0.2675%</f>
        <v>13546.907439635395</v>
      </c>
      <c r="M27" s="43">
        <f>5064264.4634151*0.2675%</f>
        <v>13546.907439635395</v>
      </c>
      <c r="N27" s="43">
        <f>5389279.56587216*0.2675%</f>
        <v>14416.322838708029</v>
      </c>
      <c r="O27" s="43">
        <f>5389279.56587216*0.2675%</f>
        <v>14416.322838708029</v>
      </c>
      <c r="P27" s="43">
        <f>6317275.66*0.2675%</f>
        <v>16898.712390500001</v>
      </c>
      <c r="Q27" s="43">
        <f>6317275.66*0.2675%</f>
        <v>16898.712390500001</v>
      </c>
      <c r="R27" s="43">
        <f>6140692.72*0.2675%</f>
        <v>16426.353026000001</v>
      </c>
      <c r="S27" s="43">
        <f>6140692.72*0.2675%</f>
        <v>16426.353026000001</v>
      </c>
      <c r="T27" s="43">
        <f>6246030.78*0.2675%</f>
        <v>16708.132336500003</v>
      </c>
      <c r="U27" s="43">
        <f>6246030.78*0.2675%</f>
        <v>16708.132336500003</v>
      </c>
      <c r="V27" s="43">
        <f>6076384.5*0.2675%</f>
        <v>16254.328537500001</v>
      </c>
      <c r="W27" s="43">
        <f>6076384.5*0.2675%</f>
        <v>16254.328537500001</v>
      </c>
      <c r="X27" s="43">
        <f>7616380.26*0.2675%</f>
        <v>20373.817195500003</v>
      </c>
      <c r="Y27" s="43">
        <f>7616380.26*0.2675%</f>
        <v>20373.817195500003</v>
      </c>
      <c r="Z27" s="43">
        <f>8946701.03*0.2675%</f>
        <v>23932.42525525</v>
      </c>
      <c r="AA27" s="43">
        <f>8946701.03*0.2675%</f>
        <v>23932.42525525</v>
      </c>
      <c r="AB27" s="44">
        <f t="shared" si="7"/>
        <v>190919.66284146474</v>
      </c>
      <c r="AC27" s="44">
        <f t="shared" si="6"/>
        <v>190919.66284146474</v>
      </c>
      <c r="AF27" s="37"/>
      <c r="AG27" s="37"/>
    </row>
    <row r="28" spans="1:33" x14ac:dyDescent="0.2">
      <c r="A28" s="39"/>
      <c r="B28" s="42" t="s">
        <v>47</v>
      </c>
      <c r="C28" s="41" t="s">
        <v>12</v>
      </c>
      <c r="D28" s="43">
        <v>9362465.0467930455</v>
      </c>
      <c r="E28" s="43">
        <v>9362465.0467930455</v>
      </c>
      <c r="F28" s="43">
        <v>9264735.6295279972</v>
      </c>
      <c r="G28" s="43">
        <v>9264735.6295279972</v>
      </c>
      <c r="H28" s="43">
        <v>9061248.8699724656</v>
      </c>
      <c r="I28" s="43">
        <v>9061248.8699724656</v>
      </c>
      <c r="J28" s="43">
        <v>6585390.5821981262</v>
      </c>
      <c r="K28" s="43">
        <v>6585390.5821981262</v>
      </c>
      <c r="L28" s="43">
        <v>7249213.4193531517</v>
      </c>
      <c r="M28" s="43">
        <v>7249213.4193531517</v>
      </c>
      <c r="N28" s="43">
        <v>7890700.3840489704</v>
      </c>
      <c r="O28" s="43">
        <v>7890700.3840489704</v>
      </c>
      <c r="P28" s="43">
        <v>10723743.34</v>
      </c>
      <c r="Q28" s="43">
        <v>10723743.34</v>
      </c>
      <c r="R28" s="43">
        <v>10049682.41</v>
      </c>
      <c r="S28" s="43">
        <v>10049682.41</v>
      </c>
      <c r="T28" s="43">
        <v>10147879.539999999</v>
      </c>
      <c r="U28" s="43">
        <v>10147879.539999999</v>
      </c>
      <c r="V28" s="43">
        <v>9482259.1099999994</v>
      </c>
      <c r="W28" s="43">
        <v>9482259.1099999994</v>
      </c>
      <c r="X28" s="43">
        <v>9626904.2799999993</v>
      </c>
      <c r="Y28" s="43">
        <v>9626904.2799999993</v>
      </c>
      <c r="Z28" s="43">
        <v>9124695.3300000001</v>
      </c>
      <c r="AA28" s="43">
        <v>9124695.3300000001</v>
      </c>
      <c r="AB28" s="44">
        <f t="shared" si="7"/>
        <v>108568917.94189376</v>
      </c>
      <c r="AC28" s="44">
        <f t="shared" si="6"/>
        <v>108568917.94189376</v>
      </c>
      <c r="AF28" s="37"/>
      <c r="AG28" s="37"/>
    </row>
    <row r="29" spans="1:33" x14ac:dyDescent="0.2">
      <c r="A29" s="39"/>
      <c r="B29" s="42" t="s">
        <v>48</v>
      </c>
      <c r="C29" s="41" t="s">
        <v>12</v>
      </c>
      <c r="D29" s="43">
        <v>50698406.254628986</v>
      </c>
      <c r="E29" s="43">
        <v>50698406.254628986</v>
      </c>
      <c r="F29" s="43">
        <v>58527582.710920289</v>
      </c>
      <c r="G29" s="43">
        <v>58527582.710920289</v>
      </c>
      <c r="H29" s="43">
        <v>58878897.777891912</v>
      </c>
      <c r="I29" s="43">
        <v>58878897.777891912</v>
      </c>
      <c r="J29" s="43">
        <v>50126007.490160279</v>
      </c>
      <c r="K29" s="43">
        <v>50126007.490160279</v>
      </c>
      <c r="L29" s="43">
        <v>57713824.876557976</v>
      </c>
      <c r="M29" s="43">
        <v>57713824.876557976</v>
      </c>
      <c r="N29" s="43">
        <v>64400101.941708282</v>
      </c>
      <c r="O29" s="43">
        <v>64400101.941708282</v>
      </c>
      <c r="P29" s="43">
        <v>76886524.859999999</v>
      </c>
      <c r="Q29" s="43">
        <v>76886524.859999999</v>
      </c>
      <c r="R29" s="43">
        <v>71391558.879999995</v>
      </c>
      <c r="S29" s="43">
        <v>71391558.879999995</v>
      </c>
      <c r="T29" s="43">
        <v>77592639.890000001</v>
      </c>
      <c r="U29" s="43">
        <v>77592639.890000001</v>
      </c>
      <c r="V29" s="43">
        <v>75567135.980000004</v>
      </c>
      <c r="W29" s="43">
        <v>75567135.980000004</v>
      </c>
      <c r="X29" s="43">
        <v>67548241.090000004</v>
      </c>
      <c r="Y29" s="43">
        <v>67548241.090000004</v>
      </c>
      <c r="Z29" s="43">
        <v>83894722.310000002</v>
      </c>
      <c r="AA29" s="43">
        <v>83894722.310000002</v>
      </c>
      <c r="AB29" s="44">
        <f t="shared" si="7"/>
        <v>793225644.06186771</v>
      </c>
      <c r="AC29" s="44">
        <f t="shared" si="6"/>
        <v>793225644.06186771</v>
      </c>
      <c r="AF29" s="37"/>
      <c r="AG29" s="37"/>
    </row>
    <row r="30" spans="1:33" x14ac:dyDescent="0.2">
      <c r="A30" s="39"/>
      <c r="B30" s="42" t="s">
        <v>49</v>
      </c>
      <c r="C30" s="41" t="s">
        <v>12</v>
      </c>
      <c r="D30" s="43">
        <v>2913095.6951970588</v>
      </c>
      <c r="E30" s="43">
        <v>2913095.6951970588</v>
      </c>
      <c r="F30" s="43">
        <v>3487863.9274420375</v>
      </c>
      <c r="G30" s="43">
        <v>3487863.9274420375</v>
      </c>
      <c r="H30" s="43">
        <v>3576830.6091943476</v>
      </c>
      <c r="I30" s="43">
        <v>3576830.6091943476</v>
      </c>
      <c r="J30" s="43">
        <v>2867096.3595945295</v>
      </c>
      <c r="K30" s="43">
        <v>2867096.3595945295</v>
      </c>
      <c r="L30" s="43">
        <v>3494122.2840742893</v>
      </c>
      <c r="M30" s="43">
        <v>3494122.2840742893</v>
      </c>
      <c r="N30" s="43">
        <v>3804339.0557632935</v>
      </c>
      <c r="O30" s="43">
        <v>3804339.0557632935</v>
      </c>
      <c r="P30" s="43">
        <v>3937792.39</v>
      </c>
      <c r="Q30" s="43">
        <v>3937792.39</v>
      </c>
      <c r="R30" s="43">
        <v>3290791.71</v>
      </c>
      <c r="S30" s="43">
        <v>3290791.71</v>
      </c>
      <c r="T30" s="43">
        <v>631935.14</v>
      </c>
      <c r="U30" s="43">
        <v>631935.14</v>
      </c>
      <c r="V30" s="43">
        <v>4181592.83</v>
      </c>
      <c r="W30" s="43">
        <v>4181592.83</v>
      </c>
      <c r="X30" s="43">
        <v>4242192.04</v>
      </c>
      <c r="Y30" s="43">
        <v>4242192.04</v>
      </c>
      <c r="Z30" s="43">
        <v>4493535.49</v>
      </c>
      <c r="AA30" s="43">
        <v>4493535.49</v>
      </c>
      <c r="AB30" s="44">
        <f t="shared" si="7"/>
        <v>40921187.531265557</v>
      </c>
      <c r="AC30" s="44">
        <f t="shared" si="6"/>
        <v>40921187.531265557</v>
      </c>
      <c r="AF30" s="37"/>
      <c r="AG30" s="37"/>
    </row>
    <row r="31" spans="1:33" x14ac:dyDescent="0.2">
      <c r="A31" s="39"/>
      <c r="B31" s="42" t="s">
        <v>50</v>
      </c>
      <c r="C31" s="41" t="s">
        <v>12</v>
      </c>
      <c r="D31" s="43">
        <v>568306.37179728004</v>
      </c>
      <c r="E31" s="43">
        <v>431912.84256593289</v>
      </c>
      <c r="F31" s="43">
        <v>486697.29522347002</v>
      </c>
      <c r="G31" s="43">
        <v>369889.94436983729</v>
      </c>
      <c r="H31" s="43">
        <v>747422.93265655509</v>
      </c>
      <c r="I31" s="43">
        <v>568041.42881898186</v>
      </c>
      <c r="J31" s="43">
        <v>546067.36914771004</v>
      </c>
      <c r="K31" s="43">
        <v>415011.20055225963</v>
      </c>
      <c r="L31" s="43">
        <v>86.916771200000014</v>
      </c>
      <c r="M31" s="43">
        <v>66.056746112000013</v>
      </c>
      <c r="N31" s="43">
        <v>184857.75889746501</v>
      </c>
      <c r="O31" s="43">
        <v>140491.89676207345</v>
      </c>
      <c r="P31" s="43">
        <v>730178.86</v>
      </c>
      <c r="Q31" s="43">
        <v>554935.93000000005</v>
      </c>
      <c r="R31" s="43">
        <v>735981.16</v>
      </c>
      <c r="S31" s="43">
        <v>559345.68000000005</v>
      </c>
      <c r="T31" s="43">
        <v>765850.71</v>
      </c>
      <c r="U31" s="43">
        <v>582046.54</v>
      </c>
      <c r="V31" s="43">
        <v>718410.06</v>
      </c>
      <c r="W31" s="43">
        <v>545991.64</v>
      </c>
      <c r="X31" s="43">
        <v>764888.32</v>
      </c>
      <c r="Y31" s="43">
        <v>581315.12</v>
      </c>
      <c r="Z31" s="43">
        <v>733146.36</v>
      </c>
      <c r="AA31" s="43">
        <v>557191.24</v>
      </c>
      <c r="AB31" s="44">
        <f t="shared" si="7"/>
        <v>6981894.114493682</v>
      </c>
      <c r="AC31" s="44">
        <f t="shared" si="6"/>
        <v>5306239.5198151972</v>
      </c>
    </row>
    <row r="32" spans="1:33" x14ac:dyDescent="0.2">
      <c r="A32" s="39"/>
      <c r="B32" s="42" t="s">
        <v>51</v>
      </c>
      <c r="C32" s="41" t="s">
        <v>12</v>
      </c>
      <c r="D32" s="43">
        <v>0</v>
      </c>
      <c r="E32" s="43">
        <v>0</v>
      </c>
      <c r="F32" s="43">
        <v>26460.822634999997</v>
      </c>
      <c r="G32" s="43">
        <v>26460.822634999997</v>
      </c>
      <c r="H32" s="43">
        <v>313259.35242726404</v>
      </c>
      <c r="I32" s="43">
        <v>313259.35242726404</v>
      </c>
      <c r="J32" s="43">
        <v>221094.898021945</v>
      </c>
      <c r="K32" s="43">
        <v>221094.898021945</v>
      </c>
      <c r="L32" s="43">
        <v>0</v>
      </c>
      <c r="M32" s="43">
        <v>0</v>
      </c>
      <c r="N32" s="43">
        <v>160617.9211559</v>
      </c>
      <c r="O32" s="43">
        <v>160617.9211559</v>
      </c>
      <c r="P32" s="43">
        <v>444029.5</v>
      </c>
      <c r="Q32" s="43">
        <v>444029.5</v>
      </c>
      <c r="R32" s="43">
        <v>88015.65</v>
      </c>
      <c r="S32" s="43">
        <v>88015.65</v>
      </c>
      <c r="T32" s="43">
        <v>358578.21</v>
      </c>
      <c r="U32" s="43">
        <v>358578.21</v>
      </c>
      <c r="V32" s="43">
        <v>207558.36</v>
      </c>
      <c r="W32" s="43">
        <v>207558.36</v>
      </c>
      <c r="X32" s="43">
        <v>191240.77</v>
      </c>
      <c r="Y32" s="43">
        <v>191240.77</v>
      </c>
      <c r="Z32" s="43">
        <v>392754.15</v>
      </c>
      <c r="AA32" s="43">
        <v>392754.15</v>
      </c>
      <c r="AB32" s="44">
        <f t="shared" si="7"/>
        <v>2403609.6342401085</v>
      </c>
      <c r="AC32" s="44">
        <f t="shared" si="6"/>
        <v>2403609.6342401085</v>
      </c>
    </row>
    <row r="33" spans="1:29" x14ac:dyDescent="0.2">
      <c r="A33" s="39"/>
      <c r="B33" s="42" t="s">
        <v>52</v>
      </c>
      <c r="C33" s="41" t="s">
        <v>12</v>
      </c>
      <c r="D33" s="43"/>
      <c r="E33" s="43">
        <f>67791875.2026168*13.3726%</f>
        <v>9065536.3033451345</v>
      </c>
      <c r="F33" s="43"/>
      <c r="G33" s="43">
        <f>71840589.1794294*13.3726%</f>
        <v>9606954.6286083758</v>
      </c>
      <c r="H33" s="43"/>
      <c r="I33" s="43">
        <f>70394281.4333029*13.3726%</f>
        <v>9413545.6789498627</v>
      </c>
      <c r="J33" s="43"/>
      <c r="K33" s="43">
        <f>59807717.5745869*13.3726%</f>
        <v>7997846.8403792083</v>
      </c>
      <c r="L33" s="43"/>
      <c r="M33" s="43">
        <f>66883252.285384*13.3726%</f>
        <v>8944029.7951152623</v>
      </c>
      <c r="N33" s="43"/>
      <c r="O33" s="43">
        <f>71773454.2889301*13.3726%</f>
        <v>9597976.9482414685</v>
      </c>
      <c r="P33" s="43"/>
      <c r="Q33" s="43">
        <f>82697217.6*13.3726%</f>
        <v>11058768.1207776</v>
      </c>
      <c r="R33" s="43"/>
      <c r="S33" s="43">
        <f>80642504.37*13.3726%</f>
        <v>10783999.539382622</v>
      </c>
      <c r="T33" s="43"/>
      <c r="U33" s="43">
        <f>71400462.38*13.3726%</f>
        <v>9548098.2322278805</v>
      </c>
      <c r="V33" s="43"/>
      <c r="W33" s="43">
        <f>76411550.13*13.3726%</f>
        <v>10218210.95268438</v>
      </c>
      <c r="X33" s="43"/>
      <c r="Y33" s="43">
        <f>74310824.91*13.3726%</f>
        <v>9937289.3719146606</v>
      </c>
      <c r="Z33" s="43"/>
      <c r="AA33" s="43">
        <f>87415132.27*13.3726%</f>
        <v>11689675.977938021</v>
      </c>
      <c r="AB33" s="44">
        <f>(D33+F33+H33+J33+L33+N33+P33+R33+T33+V33+X33+Z33)</f>
        <v>0</v>
      </c>
      <c r="AC33" s="44">
        <f t="shared" si="6"/>
        <v>117861932.38956448</v>
      </c>
    </row>
    <row r="34" spans="1:29" x14ac:dyDescent="0.2">
      <c r="A34" s="39"/>
      <c r="B34" s="268" t="s">
        <v>12</v>
      </c>
      <c r="C34" s="269"/>
      <c r="D34" s="45">
        <f>SUM(D16:D33)</f>
        <v>101895245.07490674</v>
      </c>
      <c r="E34" s="45">
        <f t="shared" ref="E34:AA34" si="8">SUM(E16:E33)</f>
        <v>110786619.79018326</v>
      </c>
      <c r="F34" s="45">
        <f t="shared" si="8"/>
        <v>114288720.24427147</v>
      </c>
      <c r="G34" s="45">
        <f t="shared" si="8"/>
        <v>123741534.74439712</v>
      </c>
      <c r="H34" s="45">
        <f t="shared" si="8"/>
        <v>111882507.93229567</v>
      </c>
      <c r="I34" s="45">
        <f t="shared" si="8"/>
        <v>121081084.84936428</v>
      </c>
      <c r="J34" s="45">
        <f t="shared" si="8"/>
        <v>93180932.716770291</v>
      </c>
      <c r="K34" s="45">
        <f t="shared" si="8"/>
        <v>101031347.57330479</v>
      </c>
      <c r="L34" s="45">
        <f t="shared" si="8"/>
        <v>104803955.36886345</v>
      </c>
      <c r="M34" s="45">
        <f t="shared" si="8"/>
        <v>113747964.30395362</v>
      </c>
      <c r="N34" s="45">
        <f t="shared" si="8"/>
        <v>119768221.80804856</v>
      </c>
      <c r="O34" s="45">
        <f t="shared" si="8"/>
        <v>129315375.26766266</v>
      </c>
      <c r="P34" s="45">
        <f t="shared" si="8"/>
        <v>139643604.53239048</v>
      </c>
      <c r="Q34" s="45">
        <f t="shared" si="8"/>
        <v>150506957.21316808</v>
      </c>
      <c r="R34" s="45">
        <f t="shared" si="8"/>
        <v>128285889.63302599</v>
      </c>
      <c r="S34" s="45">
        <f t="shared" si="8"/>
        <v>138874659.12240863</v>
      </c>
      <c r="T34" s="45">
        <f t="shared" si="8"/>
        <v>131098277.54233648</v>
      </c>
      <c r="U34" s="45">
        <f t="shared" si="8"/>
        <v>140444355.59456438</v>
      </c>
      <c r="V34" s="45">
        <f t="shared" si="8"/>
        <v>144847676.35853752</v>
      </c>
      <c r="W34" s="45">
        <f t="shared" si="8"/>
        <v>154864210.67122188</v>
      </c>
      <c r="X34" s="45">
        <f t="shared" si="8"/>
        <v>133361978.0271955</v>
      </c>
      <c r="Y34" s="45">
        <f t="shared" si="8"/>
        <v>143078428.55911016</v>
      </c>
      <c r="Z34" s="45">
        <f t="shared" si="8"/>
        <v>156064650.17525527</v>
      </c>
      <c r="AA34" s="45">
        <f t="shared" si="8"/>
        <v>167547095.95319328</v>
      </c>
      <c r="AB34" s="47">
        <f>SUM(AB16:AB33)</f>
        <v>1479121659.4138973</v>
      </c>
      <c r="AC34" s="46">
        <f>SUM(AC16:AC33)</f>
        <v>1595019633.6425321</v>
      </c>
    </row>
    <row r="35" spans="1:29" x14ac:dyDescent="0.2">
      <c r="A35" s="39"/>
      <c r="B35" s="42" t="s">
        <v>53</v>
      </c>
      <c r="C35" s="41" t="s">
        <v>24</v>
      </c>
      <c r="D35" s="43">
        <v>69840.107588250001</v>
      </c>
      <c r="E35" s="43">
        <v>69840.107588250001</v>
      </c>
      <c r="F35" s="43">
        <v>60443.858822480011</v>
      </c>
      <c r="G35" s="43">
        <v>60443.858822480011</v>
      </c>
      <c r="H35" s="43">
        <v>76153.546785364015</v>
      </c>
      <c r="I35" s="43">
        <v>76153.546785364015</v>
      </c>
      <c r="J35" s="43">
        <v>65852.223528340008</v>
      </c>
      <c r="K35" s="43">
        <v>65852.223528340008</v>
      </c>
      <c r="L35" s="43">
        <v>73223.387668610012</v>
      </c>
      <c r="M35" s="43">
        <v>73223.387668610012</v>
      </c>
      <c r="N35" s="43">
        <v>74708.00857256999</v>
      </c>
      <c r="O35" s="43">
        <v>74708.00857256999</v>
      </c>
      <c r="P35" s="43">
        <v>76057.77</v>
      </c>
      <c r="Q35" s="43">
        <v>76057.77</v>
      </c>
      <c r="R35" s="43">
        <v>83046.539999999994</v>
      </c>
      <c r="S35" s="43">
        <v>83046.539999999994</v>
      </c>
      <c r="T35" s="43">
        <v>31600.14</v>
      </c>
      <c r="U35" s="43">
        <v>31600.14</v>
      </c>
      <c r="V35" s="43">
        <v>34545.040000000001</v>
      </c>
      <c r="W35" s="43">
        <v>34545.040000000001</v>
      </c>
      <c r="X35" s="43">
        <v>80647.02</v>
      </c>
      <c r="Y35" s="43">
        <v>80647.02</v>
      </c>
      <c r="Z35" s="43">
        <v>73805.64</v>
      </c>
      <c r="AA35" s="43">
        <v>73805.64</v>
      </c>
      <c r="AB35" s="44">
        <f>(D35+F35+H35+J35+L35+N35+P35+R35+T35+V35+X35+Z35)</f>
        <v>799923.28296561411</v>
      </c>
      <c r="AC35" s="44">
        <f t="shared" ref="AC35:AC44" si="9">(E35+G35+I35+K35+M35+O35+Q35+S35+U35+W35+Y35+AA35)</f>
        <v>799923.28296561411</v>
      </c>
    </row>
    <row r="36" spans="1:29" x14ac:dyDescent="0.2">
      <c r="A36" s="39"/>
      <c r="B36" s="42" t="s">
        <v>54</v>
      </c>
      <c r="C36" s="41" t="s">
        <v>24</v>
      </c>
      <c r="D36" s="43">
        <v>142953.90911450502</v>
      </c>
      <c r="E36" s="43">
        <v>108644.97092702382</v>
      </c>
      <c r="F36" s="43">
        <v>148082.19870109504</v>
      </c>
      <c r="G36" s="43">
        <v>112542.47101283223</v>
      </c>
      <c r="H36" s="43">
        <v>149076.65056631502</v>
      </c>
      <c r="I36" s="43">
        <v>113298.25443039942</v>
      </c>
      <c r="J36" s="43">
        <v>152416.50939928499</v>
      </c>
      <c r="K36" s="43">
        <v>115836.5471434566</v>
      </c>
      <c r="L36" s="43">
        <v>188999.42528170501</v>
      </c>
      <c r="M36" s="43">
        <v>143639.56321409583</v>
      </c>
      <c r="N36" s="43">
        <v>186887.76836402999</v>
      </c>
      <c r="O36" s="43">
        <v>142034.70395666282</v>
      </c>
      <c r="P36" s="43">
        <v>162773.79999999999</v>
      </c>
      <c r="Q36" s="43">
        <v>123708.09</v>
      </c>
      <c r="R36" s="43">
        <v>145018.76999999999</v>
      </c>
      <c r="S36" s="43">
        <v>110214.26</v>
      </c>
      <c r="T36" s="43">
        <v>160275.54</v>
      </c>
      <c r="U36" s="43">
        <v>121809.42</v>
      </c>
      <c r="V36" s="43">
        <v>166579.60999999999</v>
      </c>
      <c r="W36" s="43">
        <v>126600.5</v>
      </c>
      <c r="X36" s="43">
        <v>143703.35999999999</v>
      </c>
      <c r="Y36" s="43">
        <v>109214.55</v>
      </c>
      <c r="Z36" s="43">
        <v>127304.96000000001</v>
      </c>
      <c r="AA36" s="43">
        <v>96751.77</v>
      </c>
      <c r="AB36" s="44">
        <f t="shared" ref="AB36:AB44" si="10">(D36+F36+H36+J36+L36+N36+P36+R36+T36+V36+X36+Z36)</f>
        <v>1874072.5014269347</v>
      </c>
      <c r="AC36" s="44">
        <f t="shared" si="9"/>
        <v>1424295.1006844707</v>
      </c>
    </row>
    <row r="37" spans="1:29" x14ac:dyDescent="0.2">
      <c r="A37" s="39"/>
      <c r="B37" s="42" t="s">
        <v>55</v>
      </c>
      <c r="C37" s="41" t="s">
        <v>24</v>
      </c>
      <c r="D37" s="43">
        <v>165912.81298280926</v>
      </c>
      <c r="E37" s="43">
        <v>165912.81298280926</v>
      </c>
      <c r="F37" s="43">
        <v>184660.67891357132</v>
      </c>
      <c r="G37" s="43">
        <v>184660.67891357132</v>
      </c>
      <c r="H37" s="43">
        <v>196389.12856797394</v>
      </c>
      <c r="I37" s="43">
        <v>196389.12856797394</v>
      </c>
      <c r="J37" s="43">
        <v>167249.86893099875</v>
      </c>
      <c r="K37" s="43">
        <v>167249.86893099875</v>
      </c>
      <c r="L37" s="43">
        <v>186010.05460529198</v>
      </c>
      <c r="M37" s="43">
        <v>186010.05460529198</v>
      </c>
      <c r="N37" s="43">
        <v>204719.43832384053</v>
      </c>
      <c r="O37" s="43">
        <v>204719.43832384053</v>
      </c>
      <c r="P37" s="43">
        <v>254256.87</v>
      </c>
      <c r="Q37" s="43">
        <v>254256.87</v>
      </c>
      <c r="R37" s="43">
        <v>241885.64</v>
      </c>
      <c r="S37" s="43">
        <v>241885.64</v>
      </c>
      <c r="T37" s="43">
        <v>240164.9</v>
      </c>
      <c r="U37" s="43">
        <v>240164.9</v>
      </c>
      <c r="V37" s="43">
        <v>209441.57</v>
      </c>
      <c r="W37" s="43">
        <v>209441.57</v>
      </c>
      <c r="X37" s="43">
        <v>250726.98</v>
      </c>
      <c r="Y37" s="43">
        <v>250726.98</v>
      </c>
      <c r="Z37" s="43">
        <v>248979.5</v>
      </c>
      <c r="AA37" s="43">
        <v>248979.5</v>
      </c>
      <c r="AB37" s="44">
        <f t="shared" si="10"/>
        <v>2550397.4423244861</v>
      </c>
      <c r="AC37" s="44">
        <f t="shared" si="9"/>
        <v>2550397.4423244861</v>
      </c>
    </row>
    <row r="38" spans="1:29" x14ac:dyDescent="0.2">
      <c r="B38" s="42" t="s">
        <v>56</v>
      </c>
      <c r="C38" s="41" t="s">
        <v>24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0</v>
      </c>
      <c r="AB38" s="44">
        <f t="shared" si="10"/>
        <v>0</v>
      </c>
      <c r="AC38" s="44">
        <f t="shared" si="9"/>
        <v>0</v>
      </c>
    </row>
    <row r="39" spans="1:29" x14ac:dyDescent="0.2">
      <c r="B39" s="42" t="s">
        <v>57</v>
      </c>
      <c r="C39" s="41" t="s">
        <v>24</v>
      </c>
      <c r="D39" s="43">
        <v>118479.64482903499</v>
      </c>
      <c r="E39" s="43">
        <v>118479.64482903499</v>
      </c>
      <c r="F39" s="43">
        <v>123490.74592495</v>
      </c>
      <c r="G39" s="43">
        <v>123490.74592495</v>
      </c>
      <c r="H39" s="43">
        <v>127050.47122927001</v>
      </c>
      <c r="I39" s="43">
        <v>127050.47122927001</v>
      </c>
      <c r="J39" s="43">
        <v>119094.51326104498</v>
      </c>
      <c r="K39" s="43">
        <v>119094.51326104498</v>
      </c>
      <c r="L39" s="43">
        <v>138545.14586115</v>
      </c>
      <c r="M39" s="43">
        <v>138545.14586115</v>
      </c>
      <c r="N39" s="43">
        <v>127681.75851764501</v>
      </c>
      <c r="O39" s="43">
        <v>127681.75851764501</v>
      </c>
      <c r="P39" s="43">
        <v>126745.78</v>
      </c>
      <c r="Q39" s="43">
        <v>126745.78</v>
      </c>
      <c r="R39" s="43">
        <v>135364.54999999999</v>
      </c>
      <c r="S39" s="43">
        <v>135364.54999999999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4">
        <f t="shared" si="10"/>
        <v>1016452.609623095</v>
      </c>
      <c r="AC39" s="44">
        <f t="shared" si="9"/>
        <v>1016452.609623095</v>
      </c>
    </row>
    <row r="40" spans="1:29" x14ac:dyDescent="0.2">
      <c r="B40" s="42" t="s">
        <v>58</v>
      </c>
      <c r="C40" s="41" t="s">
        <v>24</v>
      </c>
      <c r="D40" s="43">
        <v>0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0</v>
      </c>
      <c r="Y40" s="43">
        <v>0</v>
      </c>
      <c r="Z40" s="43">
        <v>0</v>
      </c>
      <c r="AA40" s="43">
        <v>0</v>
      </c>
      <c r="AB40" s="44">
        <f t="shared" si="10"/>
        <v>0</v>
      </c>
      <c r="AC40" s="44">
        <f t="shared" si="9"/>
        <v>0</v>
      </c>
    </row>
    <row r="41" spans="1:29" x14ac:dyDescent="0.2">
      <c r="B41" s="42" t="s">
        <v>59</v>
      </c>
      <c r="C41" s="41" t="s">
        <v>24</v>
      </c>
      <c r="D41" s="43">
        <v>106641.189128545</v>
      </c>
      <c r="E41" s="43">
        <v>81047.303737694208</v>
      </c>
      <c r="F41" s="43">
        <v>109806.83371511</v>
      </c>
      <c r="G41" s="43">
        <v>83453.193623483603</v>
      </c>
      <c r="H41" s="43">
        <v>119592.57461243401</v>
      </c>
      <c r="I41" s="43">
        <v>90890.356705449856</v>
      </c>
      <c r="J41" s="43">
        <v>94961.132921915007</v>
      </c>
      <c r="K41" s="43">
        <v>72170.461020655406</v>
      </c>
      <c r="L41" s="43">
        <v>106934.08034856</v>
      </c>
      <c r="M41" s="43">
        <v>81269.901064905614</v>
      </c>
      <c r="N41" s="43">
        <v>105605.19801062002</v>
      </c>
      <c r="O41" s="43">
        <v>80259.950488071219</v>
      </c>
      <c r="P41" s="43">
        <v>125968.09</v>
      </c>
      <c r="Q41" s="43">
        <v>95735.75</v>
      </c>
      <c r="R41" s="43">
        <v>98054.39</v>
      </c>
      <c r="S41" s="43">
        <v>74521.34</v>
      </c>
      <c r="T41" s="43">
        <v>101395.46</v>
      </c>
      <c r="U41" s="43">
        <v>77060.55</v>
      </c>
      <c r="V41" s="43">
        <v>82311.67</v>
      </c>
      <c r="W41" s="43">
        <v>62556.86</v>
      </c>
      <c r="X41" s="43">
        <v>107994.47</v>
      </c>
      <c r="Y41" s="43">
        <v>82075.789999999994</v>
      </c>
      <c r="Z41" s="43">
        <v>143243.25</v>
      </c>
      <c r="AA41" s="43">
        <v>108864.88</v>
      </c>
      <c r="AB41" s="44">
        <f t="shared" si="10"/>
        <v>1302508.3387371839</v>
      </c>
      <c r="AC41" s="44">
        <f t="shared" si="9"/>
        <v>989906.33664025995</v>
      </c>
    </row>
    <row r="42" spans="1:29" x14ac:dyDescent="0.2">
      <c r="B42" s="42" t="s">
        <v>60</v>
      </c>
      <c r="C42" s="41" t="s">
        <v>24</v>
      </c>
      <c r="D42" s="43">
        <v>251044.24688053498</v>
      </c>
      <c r="E42" s="43">
        <v>190793.6276292066</v>
      </c>
      <c r="F42" s="43">
        <v>262855.92687765503</v>
      </c>
      <c r="G42" s="43">
        <v>199770.50442701782</v>
      </c>
      <c r="H42" s="43">
        <v>260362.06095756503</v>
      </c>
      <c r="I42" s="43">
        <v>197875.16632774944</v>
      </c>
      <c r="J42" s="43">
        <v>191093.45726316</v>
      </c>
      <c r="K42" s="43">
        <v>145231.0275200016</v>
      </c>
      <c r="L42" s="43">
        <v>194224.26861367503</v>
      </c>
      <c r="M42" s="43">
        <v>147610.44414639304</v>
      </c>
      <c r="N42" s="43">
        <v>191327.68914011001</v>
      </c>
      <c r="O42" s="43">
        <v>145409.04374648363</v>
      </c>
      <c r="P42" s="43">
        <v>298303.09000000003</v>
      </c>
      <c r="Q42" s="43">
        <v>226710.35</v>
      </c>
      <c r="R42" s="43">
        <v>263964.40999999997</v>
      </c>
      <c r="S42" s="43">
        <v>200612.95</v>
      </c>
      <c r="T42" s="43">
        <v>238158.52</v>
      </c>
      <c r="U42" s="43">
        <v>181000.47</v>
      </c>
      <c r="V42" s="43">
        <v>244431.94</v>
      </c>
      <c r="W42" s="43">
        <v>185768.28</v>
      </c>
      <c r="X42" s="43">
        <v>278900.21000000002</v>
      </c>
      <c r="Y42" s="43">
        <v>211964.17</v>
      </c>
      <c r="Z42" s="43">
        <v>256188.47</v>
      </c>
      <c r="AA42" s="43">
        <v>194703.24</v>
      </c>
      <c r="AB42" s="44">
        <f t="shared" si="10"/>
        <v>2930854.2897327002</v>
      </c>
      <c r="AC42" s="44">
        <f t="shared" si="9"/>
        <v>2227449.2737968517</v>
      </c>
    </row>
    <row r="43" spans="1:29" x14ac:dyDescent="0.2">
      <c r="B43" s="42" t="s">
        <v>61</v>
      </c>
      <c r="C43" s="41" t="s">
        <v>24</v>
      </c>
      <c r="D43" s="43">
        <v>454060.86030429113</v>
      </c>
      <c r="E43" s="43">
        <v>454060.86030429113</v>
      </c>
      <c r="F43" s="43">
        <v>507523.53624824836</v>
      </c>
      <c r="G43" s="43">
        <v>507523.53624824836</v>
      </c>
      <c r="H43" s="43">
        <v>539522.11648573529</v>
      </c>
      <c r="I43" s="43">
        <v>539522.11648573529</v>
      </c>
      <c r="J43" s="43">
        <v>460089.83306381054</v>
      </c>
      <c r="K43" s="43">
        <v>460089.83306381054</v>
      </c>
      <c r="L43" s="43">
        <v>547540.02767435601</v>
      </c>
      <c r="M43" s="43">
        <v>547540.02767435601</v>
      </c>
      <c r="N43" s="43">
        <v>596950.48854646657</v>
      </c>
      <c r="O43" s="43">
        <v>596950.48854646657</v>
      </c>
      <c r="P43" s="43">
        <v>721955.27</v>
      </c>
      <c r="Q43" s="43">
        <v>721955.27</v>
      </c>
      <c r="R43" s="43">
        <v>661542.43000000005</v>
      </c>
      <c r="S43" s="43">
        <v>661542.43000000005</v>
      </c>
      <c r="T43" s="43">
        <v>661297.56000000006</v>
      </c>
      <c r="U43" s="43">
        <v>661297.56000000006</v>
      </c>
      <c r="V43" s="43">
        <v>572224.31000000006</v>
      </c>
      <c r="W43" s="43">
        <v>572224.31000000006</v>
      </c>
      <c r="X43" s="43">
        <v>683248.23</v>
      </c>
      <c r="Y43" s="43">
        <v>683248.23</v>
      </c>
      <c r="Z43" s="43">
        <v>695355.99</v>
      </c>
      <c r="AA43" s="43">
        <v>695355.99</v>
      </c>
      <c r="AB43" s="44">
        <f t="shared" si="10"/>
        <v>7101310.6523229089</v>
      </c>
      <c r="AC43" s="44">
        <f t="shared" si="9"/>
        <v>7101310.6523229089</v>
      </c>
    </row>
    <row r="44" spans="1:29" x14ac:dyDescent="0.2">
      <c r="B44" s="42" t="s">
        <v>62</v>
      </c>
      <c r="C44" s="41" t="s">
        <v>24</v>
      </c>
      <c r="D44" s="43">
        <v>595865.14196632989</v>
      </c>
      <c r="E44" s="43">
        <v>595865.14196632989</v>
      </c>
      <c r="F44" s="43">
        <v>629051.29474768997</v>
      </c>
      <c r="G44" s="43">
        <v>629051.29474768997</v>
      </c>
      <c r="H44" s="43">
        <v>633903.41952795908</v>
      </c>
      <c r="I44" s="43">
        <v>633903.41952795908</v>
      </c>
      <c r="J44" s="43">
        <v>547573.39188736503</v>
      </c>
      <c r="K44" s="43">
        <v>547573.39188736503</v>
      </c>
      <c r="L44" s="43">
        <v>656146.33367278019</v>
      </c>
      <c r="M44" s="43">
        <v>656146.33367278019</v>
      </c>
      <c r="N44" s="43">
        <v>739037.9829694099</v>
      </c>
      <c r="O44" s="43">
        <v>739037.9829694099</v>
      </c>
      <c r="P44" s="43">
        <v>878157.91</v>
      </c>
      <c r="Q44" s="43">
        <v>878157.91</v>
      </c>
      <c r="R44" s="43">
        <v>900498.11</v>
      </c>
      <c r="S44" s="43">
        <v>900498.11</v>
      </c>
      <c r="T44" s="43">
        <v>851043.14</v>
      </c>
      <c r="U44" s="43">
        <v>851043.14</v>
      </c>
      <c r="V44" s="43">
        <v>811330.96</v>
      </c>
      <c r="W44" s="43">
        <v>811330.96</v>
      </c>
      <c r="X44" s="43">
        <v>839344.91</v>
      </c>
      <c r="Y44" s="43">
        <v>839344.91</v>
      </c>
      <c r="Z44" s="43">
        <v>856319.25</v>
      </c>
      <c r="AA44" s="43">
        <v>856319.25</v>
      </c>
      <c r="AB44" s="44">
        <f t="shared" si="10"/>
        <v>8938271.8447715342</v>
      </c>
      <c r="AC44" s="44">
        <f t="shared" si="9"/>
        <v>8938271.8447715342</v>
      </c>
    </row>
    <row r="45" spans="1:29" x14ac:dyDescent="0.2">
      <c r="B45" s="268" t="s">
        <v>24</v>
      </c>
      <c r="C45" s="269"/>
      <c r="D45" s="45">
        <f>SUM(D35:D44)</f>
        <v>1904797.9127943004</v>
      </c>
      <c r="E45" s="45">
        <f t="shared" ref="E45:AA45" si="11">SUM(E35:E44)</f>
        <v>1784644.4699646397</v>
      </c>
      <c r="F45" s="45">
        <f t="shared" si="11"/>
        <v>2025915.0739507996</v>
      </c>
      <c r="G45" s="45">
        <f t="shared" si="11"/>
        <v>1900936.2837202733</v>
      </c>
      <c r="H45" s="45">
        <f t="shared" si="11"/>
        <v>2102049.9687326164</v>
      </c>
      <c r="I45" s="45">
        <f t="shared" si="11"/>
        <v>1975082.4600599012</v>
      </c>
      <c r="J45" s="45">
        <f t="shared" si="11"/>
        <v>1798330.9302559192</v>
      </c>
      <c r="K45" s="45">
        <f t="shared" si="11"/>
        <v>1693097.8663556729</v>
      </c>
      <c r="L45" s="45">
        <f t="shared" si="11"/>
        <v>2091622.7237261282</v>
      </c>
      <c r="M45" s="45">
        <f t="shared" si="11"/>
        <v>1973984.8579075825</v>
      </c>
      <c r="N45" s="45">
        <f t="shared" si="11"/>
        <v>2226918.332444692</v>
      </c>
      <c r="O45" s="45">
        <f t="shared" si="11"/>
        <v>2110801.3751211497</v>
      </c>
      <c r="P45" s="45">
        <f t="shared" si="11"/>
        <v>2644218.58</v>
      </c>
      <c r="Q45" s="45">
        <f t="shared" si="11"/>
        <v>2503327.79</v>
      </c>
      <c r="R45" s="45">
        <f t="shared" si="11"/>
        <v>2529374.84</v>
      </c>
      <c r="S45" s="45">
        <f t="shared" si="11"/>
        <v>2407685.8199999998</v>
      </c>
      <c r="T45" s="45">
        <f t="shared" si="11"/>
        <v>2283935.2600000002</v>
      </c>
      <c r="U45" s="45">
        <f t="shared" si="11"/>
        <v>2163976.1800000002</v>
      </c>
      <c r="V45" s="45">
        <f t="shared" si="11"/>
        <v>2120865.1</v>
      </c>
      <c r="W45" s="45">
        <f t="shared" si="11"/>
        <v>2002467.52</v>
      </c>
      <c r="X45" s="45">
        <f t="shared" si="11"/>
        <v>2384565.1800000002</v>
      </c>
      <c r="Y45" s="45">
        <f t="shared" si="11"/>
        <v>2257221.65</v>
      </c>
      <c r="Z45" s="45">
        <f t="shared" si="11"/>
        <v>2401197.06</v>
      </c>
      <c r="AA45" s="45">
        <f t="shared" si="11"/>
        <v>2274780.27</v>
      </c>
      <c r="AB45" s="47">
        <f>SUM(AB35:AB44)</f>
        <v>26513790.961904459</v>
      </c>
      <c r="AC45" s="46">
        <f>SUM(AC35:AC44)</f>
        <v>25048006.543129221</v>
      </c>
    </row>
    <row r="46" spans="1:29" x14ac:dyDescent="0.2">
      <c r="B46" s="42" t="s">
        <v>63</v>
      </c>
      <c r="C46" s="41" t="s">
        <v>25</v>
      </c>
      <c r="D46" s="43">
        <v>391037.23462150502</v>
      </c>
      <c r="E46" s="43">
        <v>336292.02177449438</v>
      </c>
      <c r="F46" s="43">
        <v>383035.41220091505</v>
      </c>
      <c r="G46" s="43">
        <v>329410.45449278696</v>
      </c>
      <c r="H46" s="43">
        <v>407514.14986570895</v>
      </c>
      <c r="I46" s="43">
        <v>350462.16888450977</v>
      </c>
      <c r="J46" s="43">
        <v>236406.27258944008</v>
      </c>
      <c r="K46" s="43">
        <v>203309.3944269185</v>
      </c>
      <c r="L46" s="43">
        <v>259238.673965055</v>
      </c>
      <c r="M46" s="43">
        <v>222945.25960994733</v>
      </c>
      <c r="N46" s="43">
        <v>276901.25105366507</v>
      </c>
      <c r="O46" s="43">
        <v>238135.07590615199</v>
      </c>
      <c r="P46" s="43">
        <v>308245.18</v>
      </c>
      <c r="Q46" s="43">
        <v>265090.86</v>
      </c>
      <c r="R46" s="43">
        <v>294753.55</v>
      </c>
      <c r="S46" s="43">
        <v>253488.05</v>
      </c>
      <c r="T46" s="43">
        <v>319021.05</v>
      </c>
      <c r="U46" s="43">
        <v>274358.11</v>
      </c>
      <c r="V46" s="43">
        <v>347692.24</v>
      </c>
      <c r="W46" s="43">
        <v>299015.33</v>
      </c>
      <c r="X46" s="43">
        <v>407399.12</v>
      </c>
      <c r="Y46" s="43">
        <v>350363.24</v>
      </c>
      <c r="Z46" s="43">
        <v>371202.79</v>
      </c>
      <c r="AA46" s="43">
        <v>319234.40000000002</v>
      </c>
      <c r="AB46" s="44">
        <f>(D46+F46+H46+J46+L46+N46+P46+R46+T46+V46+X46+Z46)</f>
        <v>4002446.9242962888</v>
      </c>
      <c r="AC46" s="44">
        <f t="shared" ref="AC46:AC53" si="12">(E46+G46+I46+K46+M46+O46+Q46+S46+U46+W46+Y46+AA46)</f>
        <v>3442104.3650948084</v>
      </c>
    </row>
    <row r="47" spans="1:29" x14ac:dyDescent="0.2">
      <c r="B47" s="42" t="s">
        <v>64</v>
      </c>
      <c r="C47" s="41" t="s">
        <v>25</v>
      </c>
      <c r="D47" s="43">
        <v>205547.059408245</v>
      </c>
      <c r="E47" s="43">
        <v>143882.94158577154</v>
      </c>
      <c r="F47" s="43">
        <v>264896.51457841002</v>
      </c>
      <c r="G47" s="43">
        <v>185427.56020488701</v>
      </c>
      <c r="H47" s="43">
        <v>268042.41308918496</v>
      </c>
      <c r="I47" s="43">
        <v>187629.68916242951</v>
      </c>
      <c r="J47" s="43">
        <v>198089.45639065001</v>
      </c>
      <c r="K47" s="43">
        <v>138662.61947345501</v>
      </c>
      <c r="L47" s="43">
        <v>210156.88316177495</v>
      </c>
      <c r="M47" s="43">
        <v>147109.81821324254</v>
      </c>
      <c r="N47" s="43">
        <v>215219.98746233998</v>
      </c>
      <c r="O47" s="43">
        <v>150653.991223638</v>
      </c>
      <c r="P47" s="43">
        <v>247549.63</v>
      </c>
      <c r="Q47" s="43">
        <v>173284.74</v>
      </c>
      <c r="R47" s="43">
        <v>287936.01</v>
      </c>
      <c r="S47" s="43">
        <v>201555.20000000001</v>
      </c>
      <c r="T47" s="43">
        <v>273751.69</v>
      </c>
      <c r="U47" s="43">
        <v>191626.18</v>
      </c>
      <c r="V47" s="43">
        <v>301435.84000000003</v>
      </c>
      <c r="W47" s="43">
        <v>211005.08</v>
      </c>
      <c r="X47" s="43">
        <v>284062.68</v>
      </c>
      <c r="Y47" s="43">
        <v>198843.88</v>
      </c>
      <c r="Z47" s="43">
        <v>345358</v>
      </c>
      <c r="AA47" s="43">
        <v>241750.6</v>
      </c>
      <c r="AB47" s="44">
        <f t="shared" ref="AB47:AB53" si="13">(D47+F47+H47+J47+L47+N47+P47+R47+T47+V47+X47+Z47)</f>
        <v>3102046.164090605</v>
      </c>
      <c r="AC47" s="44">
        <f t="shared" si="12"/>
        <v>2171432.2998634237</v>
      </c>
    </row>
    <row r="48" spans="1:29" x14ac:dyDescent="0.2">
      <c r="B48" s="42" t="s">
        <v>65</v>
      </c>
      <c r="C48" s="41" t="s">
        <v>25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43">
        <v>0</v>
      </c>
      <c r="Z48" s="43">
        <v>0</v>
      </c>
      <c r="AA48" s="43">
        <v>0</v>
      </c>
      <c r="AB48" s="44">
        <f t="shared" si="13"/>
        <v>0</v>
      </c>
      <c r="AC48" s="44">
        <f t="shared" si="12"/>
        <v>0</v>
      </c>
    </row>
    <row r="49" spans="2:29" x14ac:dyDescent="0.2">
      <c r="B49" s="42" t="s">
        <v>66</v>
      </c>
      <c r="C49" s="41" t="s">
        <v>25</v>
      </c>
      <c r="D49" s="43">
        <v>152417.33544146002</v>
      </c>
      <c r="E49" s="43">
        <v>131078.90847965566</v>
      </c>
      <c r="F49" s="43">
        <v>157564.03434541004</v>
      </c>
      <c r="G49" s="43">
        <v>135505.06953705265</v>
      </c>
      <c r="H49" s="43">
        <v>162898.09906022099</v>
      </c>
      <c r="I49" s="43">
        <v>140092.3651917901</v>
      </c>
      <c r="J49" s="43">
        <v>235946.13104361005</v>
      </c>
      <c r="K49" s="43">
        <v>202913.67269750466</v>
      </c>
      <c r="L49" s="43">
        <v>330815.39545612503</v>
      </c>
      <c r="M49" s="43">
        <v>284501.24009226752</v>
      </c>
      <c r="N49" s="43">
        <v>274298.81494693004</v>
      </c>
      <c r="O49" s="43">
        <v>235896.98085435986</v>
      </c>
      <c r="P49" s="43">
        <v>327437.21000000002</v>
      </c>
      <c r="Q49" s="43">
        <v>281596</v>
      </c>
      <c r="R49" s="43">
        <v>328699.42</v>
      </c>
      <c r="S49" s="43">
        <v>282681.5</v>
      </c>
      <c r="T49" s="43">
        <v>358140.97</v>
      </c>
      <c r="U49" s="43">
        <v>308001.23</v>
      </c>
      <c r="V49" s="43">
        <v>343714.61</v>
      </c>
      <c r="W49" s="43">
        <v>295594.57</v>
      </c>
      <c r="X49" s="43">
        <v>419538.37</v>
      </c>
      <c r="Y49" s="43">
        <v>360803</v>
      </c>
      <c r="Z49" s="43">
        <v>420175.09</v>
      </c>
      <c r="AA49" s="43">
        <v>361350.58</v>
      </c>
      <c r="AB49" s="44">
        <f t="shared" si="13"/>
        <v>3511645.4802937559</v>
      </c>
      <c r="AC49" s="44">
        <f t="shared" si="12"/>
        <v>3020015.1168526304</v>
      </c>
    </row>
    <row r="50" spans="2:29" x14ac:dyDescent="0.2">
      <c r="B50" s="42" t="s">
        <v>67</v>
      </c>
      <c r="C50" s="41" t="s">
        <v>25</v>
      </c>
      <c r="D50" s="43">
        <v>1553654.6150426902</v>
      </c>
      <c r="E50" s="43">
        <v>1553654.6150426902</v>
      </c>
      <c r="F50" s="43">
        <v>1609236.4108932503</v>
      </c>
      <c r="G50" s="43">
        <v>1609236.4108932503</v>
      </c>
      <c r="H50" s="43">
        <v>1670970.5547225398</v>
      </c>
      <c r="I50" s="43">
        <v>1670970.5547225398</v>
      </c>
      <c r="J50" s="43">
        <v>1352665.4570819552</v>
      </c>
      <c r="K50" s="43">
        <v>1352665.4570819552</v>
      </c>
      <c r="L50" s="43">
        <v>1358982.37189708</v>
      </c>
      <c r="M50" s="43">
        <v>1358982.37189708</v>
      </c>
      <c r="N50" s="43">
        <v>1190937.7054305002</v>
      </c>
      <c r="O50" s="43">
        <v>1190937.7054305002</v>
      </c>
      <c r="P50" s="43">
        <v>1955798.28</v>
      </c>
      <c r="Q50" s="43">
        <v>1955798.28</v>
      </c>
      <c r="R50" s="43">
        <v>1845209.76</v>
      </c>
      <c r="S50" s="43">
        <v>1845209.76</v>
      </c>
      <c r="T50" s="43">
        <v>1916282.53</v>
      </c>
      <c r="U50" s="43">
        <v>1916282.53</v>
      </c>
      <c r="V50" s="43">
        <v>1933531.24</v>
      </c>
      <c r="W50" s="43">
        <v>1933531.24</v>
      </c>
      <c r="X50" s="43">
        <v>2036727.52</v>
      </c>
      <c r="Y50" s="43">
        <v>2036727.52</v>
      </c>
      <c r="Z50" s="43">
        <v>1930466.34</v>
      </c>
      <c r="AA50" s="43">
        <v>1930466.34</v>
      </c>
      <c r="AB50" s="44">
        <f t="shared" si="13"/>
        <v>20354462.785068013</v>
      </c>
      <c r="AC50" s="44">
        <f t="shared" si="12"/>
        <v>20354462.785068013</v>
      </c>
    </row>
    <row r="51" spans="2:29" x14ac:dyDescent="0.2">
      <c r="B51" s="42" t="s">
        <v>68</v>
      </c>
      <c r="C51" s="41" t="s">
        <v>25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0</v>
      </c>
      <c r="Y51" s="43">
        <v>0</v>
      </c>
      <c r="Z51" s="43">
        <v>0</v>
      </c>
      <c r="AA51" s="43">
        <v>0</v>
      </c>
      <c r="AB51" s="44">
        <f t="shared" si="13"/>
        <v>0</v>
      </c>
      <c r="AC51" s="44">
        <f t="shared" si="12"/>
        <v>0</v>
      </c>
    </row>
    <row r="52" spans="2:29" x14ac:dyDescent="0.2">
      <c r="B52" s="42" t="s">
        <v>69</v>
      </c>
      <c r="C52" s="41" t="s">
        <v>25</v>
      </c>
      <c r="D52" s="43">
        <v>62914.965577587063</v>
      </c>
      <c r="E52" s="43">
        <v>59140.067642931826</v>
      </c>
      <c r="F52" s="43">
        <v>96296.220150806301</v>
      </c>
      <c r="G52" s="43">
        <v>90518.446941757909</v>
      </c>
      <c r="H52" s="43">
        <v>100736.59898724699</v>
      </c>
      <c r="I52" s="43">
        <v>94692.403048012158</v>
      </c>
      <c r="J52" s="43">
        <v>85066.080143951753</v>
      </c>
      <c r="K52" s="43">
        <v>79962.115335314636</v>
      </c>
      <c r="L52" s="43">
        <v>41573.826458377152</v>
      </c>
      <c r="M52" s="43">
        <v>39079.396870874523</v>
      </c>
      <c r="N52" s="43">
        <v>21380.323077848705</v>
      </c>
      <c r="O52" s="43">
        <v>20097.503693177776</v>
      </c>
      <c r="P52" s="43">
        <v>29606.39</v>
      </c>
      <c r="Q52" s="43">
        <v>27830.01</v>
      </c>
      <c r="R52" s="43">
        <v>2816.03</v>
      </c>
      <c r="S52" s="43">
        <v>2647.07</v>
      </c>
      <c r="T52" s="43">
        <v>7358.48</v>
      </c>
      <c r="U52" s="43">
        <v>6916.97</v>
      </c>
      <c r="V52" s="43">
        <v>4076.88</v>
      </c>
      <c r="W52" s="43">
        <v>3832.27</v>
      </c>
      <c r="X52" s="43">
        <v>0</v>
      </c>
      <c r="Y52" s="43">
        <v>0</v>
      </c>
      <c r="Z52" s="43">
        <v>0</v>
      </c>
      <c r="AA52" s="43">
        <v>0</v>
      </c>
      <c r="AB52" s="44">
        <f t="shared" si="13"/>
        <v>451825.79439581797</v>
      </c>
      <c r="AC52" s="44">
        <f t="shared" si="12"/>
        <v>424716.25353206886</v>
      </c>
    </row>
    <row r="53" spans="2:29" x14ac:dyDescent="0.2">
      <c r="B53" s="42" t="s">
        <v>70</v>
      </c>
      <c r="C53" s="41" t="s">
        <v>25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0</v>
      </c>
      <c r="Y53" s="43">
        <v>0</v>
      </c>
      <c r="Z53" s="43">
        <v>0</v>
      </c>
      <c r="AA53" s="43">
        <v>0</v>
      </c>
      <c r="AB53" s="44">
        <f t="shared" si="13"/>
        <v>0</v>
      </c>
      <c r="AC53" s="44">
        <f t="shared" si="12"/>
        <v>0</v>
      </c>
    </row>
    <row r="54" spans="2:29" x14ac:dyDescent="0.2">
      <c r="B54" s="270" t="s">
        <v>25</v>
      </c>
      <c r="C54" s="271"/>
      <c r="D54" s="45">
        <f>SUM(D46:D53)</f>
        <v>2365571.210091487</v>
      </c>
      <c r="E54" s="45">
        <f t="shared" ref="E54:AA54" si="14">SUM(E46:E53)</f>
        <v>2224048.5545255435</v>
      </c>
      <c r="F54" s="45">
        <f t="shared" si="14"/>
        <v>2511028.5921687917</v>
      </c>
      <c r="G54" s="45">
        <f t="shared" si="14"/>
        <v>2350097.9420697349</v>
      </c>
      <c r="H54" s="45">
        <f t="shared" si="14"/>
        <v>2610161.8157249019</v>
      </c>
      <c r="I54" s="45">
        <f t="shared" si="14"/>
        <v>2443847.181009281</v>
      </c>
      <c r="J54" s="45">
        <f t="shared" si="14"/>
        <v>2108173.3972496069</v>
      </c>
      <c r="K54" s="45">
        <f t="shared" si="14"/>
        <v>1977513.2590151478</v>
      </c>
      <c r="L54" s="45">
        <f t="shared" si="14"/>
        <v>2200767.1509384122</v>
      </c>
      <c r="M54" s="45">
        <f t="shared" si="14"/>
        <v>2052618.0866834118</v>
      </c>
      <c r="N54" s="45">
        <f t="shared" si="14"/>
        <v>1978738.081971284</v>
      </c>
      <c r="O54" s="45">
        <f t="shared" si="14"/>
        <v>1835721.2571078278</v>
      </c>
      <c r="P54" s="45">
        <f t="shared" si="14"/>
        <v>2868636.69</v>
      </c>
      <c r="Q54" s="45">
        <f t="shared" si="14"/>
        <v>2703599.8899999997</v>
      </c>
      <c r="R54" s="45">
        <f t="shared" si="14"/>
        <v>2759414.77</v>
      </c>
      <c r="S54" s="45">
        <f t="shared" si="14"/>
        <v>2585581.5799999996</v>
      </c>
      <c r="T54" s="45">
        <f t="shared" si="14"/>
        <v>2874554.72</v>
      </c>
      <c r="U54" s="45">
        <f t="shared" si="14"/>
        <v>2697185.02</v>
      </c>
      <c r="V54" s="45">
        <f t="shared" si="14"/>
        <v>2930450.81</v>
      </c>
      <c r="W54" s="45">
        <f t="shared" si="14"/>
        <v>2742978.4899999998</v>
      </c>
      <c r="X54" s="45">
        <f t="shared" si="14"/>
        <v>3147727.69</v>
      </c>
      <c r="Y54" s="45">
        <f t="shared" si="14"/>
        <v>2946737.64</v>
      </c>
      <c r="Z54" s="45">
        <f t="shared" si="14"/>
        <v>3067202.22</v>
      </c>
      <c r="AA54" s="45">
        <f t="shared" si="14"/>
        <v>2852801.92</v>
      </c>
      <c r="AB54" s="46">
        <f>SUM(AB46:AB53)</f>
        <v>31422427.148144484</v>
      </c>
      <c r="AC54" s="46">
        <f>SUM(AC46:AC53)</f>
        <v>29412730.820410948</v>
      </c>
    </row>
    <row r="58" spans="2:29" x14ac:dyDescent="0.2">
      <c r="V58" s="27" t="s">
        <v>265</v>
      </c>
    </row>
    <row r="59" spans="2:29" x14ac:dyDescent="0.2">
      <c r="B59" s="277" t="s">
        <v>210</v>
      </c>
      <c r="C59" s="279" t="s">
        <v>152</v>
      </c>
      <c r="D59" s="265" t="s">
        <v>28</v>
      </c>
      <c r="E59" s="265"/>
      <c r="F59" s="277" t="s">
        <v>210</v>
      </c>
      <c r="G59" s="279" t="s">
        <v>152</v>
      </c>
      <c r="H59" s="265" t="s">
        <v>28</v>
      </c>
      <c r="I59" s="265"/>
      <c r="J59" s="48"/>
    </row>
    <row r="60" spans="2:29" x14ac:dyDescent="0.2">
      <c r="B60" s="278"/>
      <c r="C60" s="280"/>
      <c r="D60" s="49">
        <v>0.05</v>
      </c>
      <c r="E60" s="50" t="s">
        <v>2</v>
      </c>
      <c r="F60" s="278"/>
      <c r="G60" s="280"/>
      <c r="H60" s="49">
        <v>0.05</v>
      </c>
      <c r="I60" s="50" t="s">
        <v>2</v>
      </c>
      <c r="J60" s="51"/>
    </row>
    <row r="61" spans="2:29" x14ac:dyDescent="0.2">
      <c r="B61" s="42" t="s">
        <v>30</v>
      </c>
      <c r="C61" s="41" t="s">
        <v>4</v>
      </c>
      <c r="D61" s="22">
        <v>2669305.7014284427</v>
      </c>
      <c r="E61" s="22">
        <v>2295602.9018284609</v>
      </c>
      <c r="F61" s="42" t="s">
        <v>48</v>
      </c>
      <c r="G61" s="52" t="s">
        <v>12</v>
      </c>
      <c r="H61" s="22">
        <v>793225644.06186771</v>
      </c>
      <c r="I61" s="22">
        <v>793225644.06186771</v>
      </c>
      <c r="J61" s="53"/>
    </row>
    <row r="62" spans="2:29" x14ac:dyDescent="0.2">
      <c r="B62" s="266" t="s">
        <v>4</v>
      </c>
      <c r="C62" s="267"/>
      <c r="D62" s="23">
        <v>2669305.7014284427</v>
      </c>
      <c r="E62" s="23">
        <v>2295602.9018284609</v>
      </c>
      <c r="F62" s="42" t="s">
        <v>49</v>
      </c>
      <c r="G62" s="52" t="s">
        <v>12</v>
      </c>
      <c r="H62" s="22">
        <v>40921187.531265557</v>
      </c>
      <c r="I62" s="22">
        <v>40921187.531265557</v>
      </c>
      <c r="J62" s="53"/>
    </row>
    <row r="63" spans="2:29" x14ac:dyDescent="0.2">
      <c r="B63" s="42" t="s">
        <v>31</v>
      </c>
      <c r="C63" s="41" t="s">
        <v>10</v>
      </c>
      <c r="D63" s="22">
        <v>557135.16786436306</v>
      </c>
      <c r="E63" s="22">
        <v>479136.26596335223</v>
      </c>
      <c r="F63" s="42" t="s">
        <v>50</v>
      </c>
      <c r="G63" s="52" t="s">
        <v>12</v>
      </c>
      <c r="H63" s="22">
        <v>6981894.114493682</v>
      </c>
      <c r="I63" s="22">
        <v>5306239.5198151972</v>
      </c>
      <c r="J63" s="53"/>
    </row>
    <row r="64" spans="2:29" x14ac:dyDescent="0.2">
      <c r="B64" s="42" t="s">
        <v>71</v>
      </c>
      <c r="C64" s="41" t="s">
        <v>10</v>
      </c>
      <c r="D64" s="22">
        <v>529540.47498446936</v>
      </c>
      <c r="E64" s="22">
        <v>349496.71128974977</v>
      </c>
      <c r="F64" s="42" t="s">
        <v>51</v>
      </c>
      <c r="G64" s="52" t="s">
        <v>12</v>
      </c>
      <c r="H64" s="22">
        <v>2403609.6342401085</v>
      </c>
      <c r="I64" s="22">
        <v>2403609.6342401085</v>
      </c>
      <c r="J64" s="53"/>
    </row>
    <row r="65" spans="2:10" x14ac:dyDescent="0.2">
      <c r="B65" s="42" t="s">
        <v>32</v>
      </c>
      <c r="C65" s="41" t="s">
        <v>10</v>
      </c>
      <c r="D65" s="22">
        <v>0</v>
      </c>
      <c r="E65" s="22">
        <v>0</v>
      </c>
      <c r="F65" s="42" t="s">
        <v>52</v>
      </c>
      <c r="G65" s="52" t="s">
        <v>12</v>
      </c>
      <c r="H65" s="22">
        <v>0</v>
      </c>
      <c r="I65" s="22">
        <v>117861932.38956448</v>
      </c>
      <c r="J65" s="53"/>
    </row>
    <row r="66" spans="2:10" x14ac:dyDescent="0.2">
      <c r="B66" s="42" t="s">
        <v>33</v>
      </c>
      <c r="C66" s="41" t="s">
        <v>10</v>
      </c>
      <c r="D66" s="22">
        <v>53568038.805655695</v>
      </c>
      <c r="E66" s="22">
        <v>26784019.387827847</v>
      </c>
      <c r="F66" s="266" t="s">
        <v>12</v>
      </c>
      <c r="G66" s="274"/>
      <c r="H66" s="23">
        <v>1479121659.4138973</v>
      </c>
      <c r="I66" s="23">
        <v>1595019633.6425321</v>
      </c>
      <c r="J66" s="53"/>
    </row>
    <row r="67" spans="2:10" x14ac:dyDescent="0.2">
      <c r="B67" s="266" t="s">
        <v>10</v>
      </c>
      <c r="C67" s="267"/>
      <c r="D67" s="23">
        <v>54654714.44850453</v>
      </c>
      <c r="E67" s="23">
        <v>27612652.365080949</v>
      </c>
      <c r="F67" s="42" t="s">
        <v>53</v>
      </c>
      <c r="G67" s="52" t="s">
        <v>24</v>
      </c>
      <c r="H67" s="22">
        <v>799923.28296561411</v>
      </c>
      <c r="I67" s="22">
        <v>799923.28296561411</v>
      </c>
      <c r="J67" s="53"/>
    </row>
    <row r="68" spans="2:10" x14ac:dyDescent="0.2">
      <c r="B68" s="42" t="s">
        <v>34</v>
      </c>
      <c r="C68" s="41" t="s">
        <v>11</v>
      </c>
      <c r="D68" s="22">
        <v>4667919.9641357036</v>
      </c>
      <c r="E68" s="22">
        <v>4667919.9641357036</v>
      </c>
      <c r="F68" s="42" t="s">
        <v>54</v>
      </c>
      <c r="G68" s="52" t="s">
        <v>24</v>
      </c>
      <c r="H68" s="22">
        <v>1874072.5014269347</v>
      </c>
      <c r="I68" s="22">
        <v>1424295.1006844707</v>
      </c>
      <c r="J68" s="53"/>
    </row>
    <row r="69" spans="2:10" x14ac:dyDescent="0.2">
      <c r="B69" s="42" t="s">
        <v>72</v>
      </c>
      <c r="C69" s="41" t="s">
        <v>11</v>
      </c>
      <c r="D69" s="22">
        <v>0</v>
      </c>
      <c r="E69" s="22">
        <v>0</v>
      </c>
      <c r="F69" s="42" t="s">
        <v>55</v>
      </c>
      <c r="G69" s="52" t="s">
        <v>24</v>
      </c>
      <c r="H69" s="22">
        <v>2550397.4423244861</v>
      </c>
      <c r="I69" s="22">
        <v>2550397.4423244861</v>
      </c>
      <c r="J69" s="53"/>
    </row>
    <row r="70" spans="2:10" x14ac:dyDescent="0.2">
      <c r="B70" s="42" t="s">
        <v>73</v>
      </c>
      <c r="C70" s="41" t="s">
        <v>11</v>
      </c>
      <c r="D70" s="22">
        <v>5098350.4530904433</v>
      </c>
      <c r="E70" s="22">
        <v>5098350.4530904433</v>
      </c>
      <c r="F70" s="42" t="s">
        <v>56</v>
      </c>
      <c r="G70" s="52" t="s">
        <v>24</v>
      </c>
      <c r="H70" s="22">
        <v>0</v>
      </c>
      <c r="I70" s="22">
        <v>0</v>
      </c>
      <c r="J70" s="53"/>
    </row>
    <row r="71" spans="2:10" x14ac:dyDescent="0.2">
      <c r="B71" s="42" t="s">
        <v>35</v>
      </c>
      <c r="C71" s="41" t="s">
        <v>11</v>
      </c>
      <c r="D71" s="22">
        <v>4743717.4868556978</v>
      </c>
      <c r="E71" s="22">
        <v>4743717.4868556978</v>
      </c>
      <c r="F71" s="42" t="s">
        <v>57</v>
      </c>
      <c r="G71" s="52" t="s">
        <v>24</v>
      </c>
      <c r="H71" s="22">
        <v>1016452.609623095</v>
      </c>
      <c r="I71" s="22">
        <v>1016452.609623095</v>
      </c>
      <c r="J71" s="53"/>
    </row>
    <row r="72" spans="2:10" x14ac:dyDescent="0.2">
      <c r="B72" s="42" t="s">
        <v>74</v>
      </c>
      <c r="C72" s="41" t="s">
        <v>11</v>
      </c>
      <c r="D72" s="22">
        <v>5312827.1868442968</v>
      </c>
      <c r="E72" s="22">
        <v>5312827.1868442968</v>
      </c>
      <c r="F72" s="42" t="s">
        <v>58</v>
      </c>
      <c r="G72" s="52" t="s">
        <v>24</v>
      </c>
      <c r="H72" s="22">
        <v>0</v>
      </c>
      <c r="I72" s="22">
        <v>0</v>
      </c>
      <c r="J72" s="53"/>
    </row>
    <row r="73" spans="2:10" x14ac:dyDescent="0.2">
      <c r="B73" s="266" t="s">
        <v>11</v>
      </c>
      <c r="C73" s="267"/>
      <c r="D73" s="23">
        <v>19822815.090926141</v>
      </c>
      <c r="E73" s="23">
        <v>19822815.090926141</v>
      </c>
      <c r="F73" s="42" t="s">
        <v>59</v>
      </c>
      <c r="G73" s="52" t="s">
        <v>24</v>
      </c>
      <c r="H73" s="22">
        <v>1302508.3387371839</v>
      </c>
      <c r="I73" s="22">
        <v>989906.33664025995</v>
      </c>
      <c r="J73" s="53"/>
    </row>
    <row r="74" spans="2:10" x14ac:dyDescent="0.2">
      <c r="B74" s="42" t="s">
        <v>36</v>
      </c>
      <c r="C74" s="41" t="s">
        <v>12</v>
      </c>
      <c r="D74" s="22">
        <v>0</v>
      </c>
      <c r="E74" s="22">
        <v>0</v>
      </c>
      <c r="F74" s="42" t="s">
        <v>60</v>
      </c>
      <c r="G74" s="52" t="s">
        <v>24</v>
      </c>
      <c r="H74" s="22">
        <v>2930854.2897327002</v>
      </c>
      <c r="I74" s="22">
        <v>2227449.2737968517</v>
      </c>
      <c r="J74" s="53"/>
    </row>
    <row r="75" spans="2:10" x14ac:dyDescent="0.2">
      <c r="B75" s="42" t="s">
        <v>37</v>
      </c>
      <c r="C75" s="41" t="s">
        <v>12</v>
      </c>
      <c r="D75" s="22">
        <v>105034511.65392354</v>
      </c>
      <c r="E75" s="22">
        <v>105034511.65392354</v>
      </c>
      <c r="F75" s="42" t="s">
        <v>61</v>
      </c>
      <c r="G75" s="52" t="s">
        <v>24</v>
      </c>
      <c r="H75" s="22">
        <v>7101310.6523229089</v>
      </c>
      <c r="I75" s="22">
        <v>7101310.6523229089</v>
      </c>
      <c r="J75" s="53"/>
    </row>
    <row r="76" spans="2:10" x14ac:dyDescent="0.2">
      <c r="B76" s="42" t="s">
        <v>38</v>
      </c>
      <c r="C76" s="41" t="s">
        <v>12</v>
      </c>
      <c r="D76" s="22">
        <v>21035820.462817781</v>
      </c>
      <c r="E76" s="22">
        <v>21035820.462817781</v>
      </c>
      <c r="F76" s="42" t="s">
        <v>62</v>
      </c>
      <c r="G76" s="52" t="s">
        <v>24</v>
      </c>
      <c r="H76" s="22">
        <v>8938271.8447715342</v>
      </c>
      <c r="I76" s="22">
        <v>8938271.8447715342</v>
      </c>
      <c r="J76" s="53"/>
    </row>
    <row r="77" spans="2:10" x14ac:dyDescent="0.2">
      <c r="B77" s="42" t="s">
        <v>39</v>
      </c>
      <c r="C77" s="41" t="s">
        <v>12</v>
      </c>
      <c r="D77" s="22">
        <v>160670963.35380062</v>
      </c>
      <c r="E77" s="22">
        <v>160670963.35380062</v>
      </c>
      <c r="F77" s="266" t="s">
        <v>24</v>
      </c>
      <c r="G77" s="274"/>
      <c r="H77" s="23">
        <v>26513790.961904459</v>
      </c>
      <c r="I77" s="23">
        <v>25048006.543129221</v>
      </c>
      <c r="J77" s="53"/>
    </row>
    <row r="78" spans="2:10" x14ac:dyDescent="0.2">
      <c r="B78" s="42" t="s">
        <v>40</v>
      </c>
      <c r="C78" s="41" t="s">
        <v>12</v>
      </c>
      <c r="D78" s="22">
        <v>166417941.66980797</v>
      </c>
      <c r="E78" s="22">
        <v>166417941.66980797</v>
      </c>
      <c r="F78" s="42" t="s">
        <v>63</v>
      </c>
      <c r="G78" s="52" t="s">
        <v>25</v>
      </c>
      <c r="H78" s="22">
        <v>4002446.9242962888</v>
      </c>
      <c r="I78" s="22">
        <v>3442104.3650948084</v>
      </c>
      <c r="J78" s="53"/>
    </row>
    <row r="79" spans="2:10" x14ac:dyDescent="0.2">
      <c r="B79" s="42" t="s">
        <v>75</v>
      </c>
      <c r="C79" s="41" t="s">
        <v>12</v>
      </c>
      <c r="D79" s="22">
        <v>0</v>
      </c>
      <c r="E79" s="22">
        <v>0</v>
      </c>
      <c r="F79" s="42" t="s">
        <v>64</v>
      </c>
      <c r="G79" s="52" t="s">
        <v>25</v>
      </c>
      <c r="H79" s="22">
        <v>3102046.164090605</v>
      </c>
      <c r="I79" s="22">
        <v>2171432.2998634237</v>
      </c>
      <c r="J79" s="53"/>
    </row>
    <row r="80" spans="2:10" x14ac:dyDescent="0.2">
      <c r="B80" s="42" t="s">
        <v>41</v>
      </c>
      <c r="C80" s="41" t="s">
        <v>12</v>
      </c>
      <c r="D80" s="22">
        <v>67149821.234691679</v>
      </c>
      <c r="E80" s="22">
        <v>67149821.234691679</v>
      </c>
      <c r="F80" s="42" t="s">
        <v>65</v>
      </c>
      <c r="G80" s="52" t="s">
        <v>25</v>
      </c>
      <c r="H80" s="22">
        <v>0</v>
      </c>
      <c r="I80" s="22">
        <v>0</v>
      </c>
      <c r="J80" s="53"/>
    </row>
    <row r="81" spans="2:10" x14ac:dyDescent="0.2">
      <c r="B81" s="42" t="s">
        <v>42</v>
      </c>
      <c r="C81" s="41" t="s">
        <v>12</v>
      </c>
      <c r="D81" s="22">
        <v>0</v>
      </c>
      <c r="E81" s="22">
        <v>0</v>
      </c>
      <c r="F81" s="42" t="s">
        <v>66</v>
      </c>
      <c r="G81" s="52" t="s">
        <v>25</v>
      </c>
      <c r="H81" s="22">
        <v>3511645.4802937559</v>
      </c>
      <c r="I81" s="22">
        <v>3020015.1168526304</v>
      </c>
      <c r="J81" s="53"/>
    </row>
    <row r="82" spans="2:10" x14ac:dyDescent="0.2">
      <c r="B82" s="42" t="s">
        <v>43</v>
      </c>
      <c r="C82" s="41" t="s">
        <v>12</v>
      </c>
      <c r="D82" s="22">
        <v>0</v>
      </c>
      <c r="E82" s="22">
        <v>0</v>
      </c>
      <c r="F82" s="42" t="s">
        <v>67</v>
      </c>
      <c r="G82" s="52" t="s">
        <v>25</v>
      </c>
      <c r="H82" s="22">
        <v>20354462.785068013</v>
      </c>
      <c r="I82" s="22">
        <v>20354462.785068013</v>
      </c>
      <c r="J82" s="53"/>
    </row>
    <row r="83" spans="2:10" x14ac:dyDescent="0.2">
      <c r="B83" s="42" t="s">
        <v>44</v>
      </c>
      <c r="C83" s="41" t="s">
        <v>12</v>
      </c>
      <c r="D83" s="22">
        <v>5319163.2978731794</v>
      </c>
      <c r="E83" s="22">
        <v>5319163.2978731794</v>
      </c>
      <c r="F83" s="42" t="s">
        <v>68</v>
      </c>
      <c r="G83" s="52" t="s">
        <v>25</v>
      </c>
      <c r="H83" s="22">
        <v>0</v>
      </c>
      <c r="I83" s="22">
        <v>0</v>
      </c>
      <c r="J83" s="53"/>
    </row>
    <row r="84" spans="2:10" x14ac:dyDescent="0.2">
      <c r="B84" s="42" t="s">
        <v>45</v>
      </c>
      <c r="C84" s="41" t="s">
        <v>12</v>
      </c>
      <c r="D84" s="22">
        <v>1201264.7943803272</v>
      </c>
      <c r="E84" s="22">
        <v>912961.2281290486</v>
      </c>
      <c r="F84" s="42" t="s">
        <v>69</v>
      </c>
      <c r="G84" s="52" t="s">
        <v>25</v>
      </c>
      <c r="H84" s="22">
        <v>451825.79439581797</v>
      </c>
      <c r="I84" s="22">
        <v>424716.25353206886</v>
      </c>
      <c r="J84" s="53"/>
    </row>
    <row r="85" spans="2:10" x14ac:dyDescent="0.2">
      <c r="B85" s="42" t="s">
        <v>46</v>
      </c>
      <c r="C85" s="41" t="s">
        <v>12</v>
      </c>
      <c r="D85" s="22">
        <v>190919.66284146474</v>
      </c>
      <c r="E85" s="22">
        <v>190919.66284146474</v>
      </c>
      <c r="F85" s="42" t="s">
        <v>70</v>
      </c>
      <c r="G85" s="52" t="s">
        <v>25</v>
      </c>
      <c r="H85" s="22">
        <v>0</v>
      </c>
      <c r="I85" s="22">
        <v>0</v>
      </c>
      <c r="J85" s="53"/>
    </row>
    <row r="86" spans="2:10" x14ac:dyDescent="0.2">
      <c r="B86" s="42" t="s">
        <v>47</v>
      </c>
      <c r="C86" s="41" t="s">
        <v>12</v>
      </c>
      <c r="D86" s="22">
        <v>108568917.94189376</v>
      </c>
      <c r="E86" s="22">
        <v>108568917.94189376</v>
      </c>
      <c r="F86" s="275" t="s">
        <v>25</v>
      </c>
      <c r="G86" s="276"/>
      <c r="H86" s="23">
        <v>31422427.148144484</v>
      </c>
      <c r="I86" s="23">
        <v>29412730.820410948</v>
      </c>
      <c r="J86" s="53"/>
    </row>
    <row r="87" spans="2:10" x14ac:dyDescent="0.2">
      <c r="J87" s="55"/>
    </row>
    <row r="88" spans="2:10" s="54" customFormat="1" x14ac:dyDescent="0.2"/>
    <row r="89" spans="2:10" s="54" customFormat="1" x14ac:dyDescent="0.2">
      <c r="B89" s="221"/>
      <c r="C89" s="222"/>
      <c r="D89" s="225"/>
      <c r="E89" s="226"/>
    </row>
    <row r="90" spans="2:10" s="54" customFormat="1" x14ac:dyDescent="0.2">
      <c r="B90" s="223"/>
      <c r="C90" s="283" t="s">
        <v>152</v>
      </c>
      <c r="D90" s="281" t="s">
        <v>271</v>
      </c>
      <c r="E90" s="281"/>
      <c r="F90" s="282" t="s">
        <v>272</v>
      </c>
      <c r="G90" s="282"/>
    </row>
    <row r="91" spans="2:10" s="54" customFormat="1" x14ac:dyDescent="0.2">
      <c r="B91" s="224"/>
      <c r="C91" s="284"/>
      <c r="D91" s="230">
        <v>0.05</v>
      </c>
      <c r="E91" s="231" t="s">
        <v>2</v>
      </c>
      <c r="F91" s="230">
        <v>0.05</v>
      </c>
      <c r="G91" s="231" t="s">
        <v>2</v>
      </c>
    </row>
    <row r="92" spans="2:10" s="54" customFormat="1" x14ac:dyDescent="0.2">
      <c r="C92" s="232" t="s">
        <v>4</v>
      </c>
      <c r="D92" s="229">
        <f>D62</f>
        <v>2669305.7014284427</v>
      </c>
      <c r="E92" s="229">
        <f>E62</f>
        <v>2295602.9018284609</v>
      </c>
      <c r="F92" s="229">
        <f>D92*0.3</f>
        <v>800791.7104285328</v>
      </c>
      <c r="G92" s="229">
        <f>E92*0.225</f>
        <v>516510.65291140368</v>
      </c>
    </row>
    <row r="93" spans="2:10" s="54" customFormat="1" x14ac:dyDescent="0.2">
      <c r="C93" s="232" t="s">
        <v>10</v>
      </c>
      <c r="D93" s="229">
        <f>D67</f>
        <v>54654714.44850453</v>
      </c>
      <c r="E93" s="229">
        <f>E67</f>
        <v>27612652.365080949</v>
      </c>
      <c r="F93" s="229">
        <f t="shared" ref="F93:F97" si="15">D93*0.3</f>
        <v>16396414.334551359</v>
      </c>
      <c r="G93" s="229">
        <f t="shared" ref="G93:G97" si="16">E93*0.225</f>
        <v>6212846.7821432138</v>
      </c>
    </row>
    <row r="94" spans="2:10" s="54" customFormat="1" x14ac:dyDescent="0.2">
      <c r="C94" s="232" t="s">
        <v>11</v>
      </c>
      <c r="D94" s="229">
        <f>D73</f>
        <v>19822815.090926141</v>
      </c>
      <c r="E94" s="229">
        <f>E73</f>
        <v>19822815.090926141</v>
      </c>
      <c r="F94" s="229">
        <f t="shared" si="15"/>
        <v>5946844.5272778422</v>
      </c>
      <c r="G94" s="229">
        <f t="shared" si="16"/>
        <v>4460133.3954583816</v>
      </c>
    </row>
    <row r="95" spans="2:10" x14ac:dyDescent="0.2">
      <c r="C95" s="232" t="s">
        <v>12</v>
      </c>
      <c r="D95" s="229">
        <f>H66</f>
        <v>1479121659.4138973</v>
      </c>
      <c r="E95" s="229">
        <f>I66</f>
        <v>1595019633.6425321</v>
      </c>
      <c r="F95" s="229">
        <f t="shared" si="15"/>
        <v>443736497.82416916</v>
      </c>
      <c r="G95" s="229">
        <f t="shared" si="16"/>
        <v>358879417.56956971</v>
      </c>
    </row>
    <row r="96" spans="2:10" x14ac:dyDescent="0.2">
      <c r="C96" s="232" t="s">
        <v>24</v>
      </c>
      <c r="D96" s="229">
        <f>H77</f>
        <v>26513790.961904459</v>
      </c>
      <c r="E96" s="229">
        <f>I77</f>
        <v>25048006.543129221</v>
      </c>
      <c r="F96" s="229">
        <f t="shared" si="15"/>
        <v>7954137.2885713372</v>
      </c>
      <c r="G96" s="229">
        <f t="shared" si="16"/>
        <v>5635801.4722040752</v>
      </c>
    </row>
    <row r="97" spans="2:7" x14ac:dyDescent="0.2">
      <c r="C97" s="233" t="s">
        <v>25</v>
      </c>
      <c r="D97" s="229">
        <f>H86</f>
        <v>31422427.148144484</v>
      </c>
      <c r="E97" s="229">
        <f>I86</f>
        <v>29412730.820410948</v>
      </c>
      <c r="F97" s="229">
        <f t="shared" si="15"/>
        <v>9426728.1444433443</v>
      </c>
      <c r="G97" s="229">
        <f t="shared" si="16"/>
        <v>6617864.4345924631</v>
      </c>
    </row>
    <row r="98" spans="2:7" x14ac:dyDescent="0.2">
      <c r="B98" s="56"/>
      <c r="C98" s="227"/>
      <c r="D98" s="228"/>
      <c r="E98" s="228"/>
    </row>
    <row r="99" spans="2:7" x14ac:dyDescent="0.2">
      <c r="B99" s="56"/>
      <c r="C99" s="57"/>
      <c r="D99" s="58"/>
      <c r="E99" s="58"/>
    </row>
    <row r="100" spans="2:7" x14ac:dyDescent="0.2">
      <c r="B100" s="56"/>
      <c r="C100" s="57"/>
      <c r="D100" s="58"/>
      <c r="E100" s="58"/>
    </row>
    <row r="101" spans="2:7" x14ac:dyDescent="0.2">
      <c r="B101" s="56"/>
      <c r="C101" s="57"/>
      <c r="D101" s="58"/>
      <c r="E101" s="58"/>
    </row>
    <row r="102" spans="2:7" x14ac:dyDescent="0.2">
      <c r="B102" s="56"/>
      <c r="C102" s="57"/>
      <c r="D102" s="58"/>
      <c r="E102" s="58"/>
    </row>
    <row r="103" spans="2:7" x14ac:dyDescent="0.2">
      <c r="B103" s="56"/>
      <c r="C103" s="57"/>
      <c r="D103" s="58"/>
      <c r="E103" s="58"/>
    </row>
    <row r="104" spans="2:7" x14ac:dyDescent="0.2">
      <c r="B104" s="56"/>
      <c r="C104" s="57"/>
      <c r="D104" s="58"/>
      <c r="E104" s="58"/>
    </row>
    <row r="105" spans="2:7" x14ac:dyDescent="0.2">
      <c r="B105" s="56"/>
      <c r="C105" s="57"/>
      <c r="D105" s="58"/>
      <c r="E105" s="58"/>
    </row>
    <row r="106" spans="2:7" x14ac:dyDescent="0.2">
      <c r="B106" s="272"/>
      <c r="C106" s="272"/>
      <c r="D106" s="58"/>
      <c r="E106" s="58"/>
    </row>
    <row r="107" spans="2:7" x14ac:dyDescent="0.2">
      <c r="B107" s="56"/>
      <c r="C107" s="57"/>
      <c r="D107" s="58"/>
      <c r="E107" s="58"/>
    </row>
    <row r="108" spans="2:7" x14ac:dyDescent="0.2">
      <c r="B108" s="56"/>
      <c r="C108" s="57"/>
      <c r="D108" s="58"/>
      <c r="E108" s="58"/>
    </row>
    <row r="109" spans="2:7" x14ac:dyDescent="0.2">
      <c r="B109" s="56"/>
      <c r="C109" s="57"/>
      <c r="D109" s="58"/>
      <c r="E109" s="58"/>
    </row>
    <row r="110" spans="2:7" x14ac:dyDescent="0.2">
      <c r="B110" s="56"/>
      <c r="C110" s="57"/>
      <c r="D110" s="58"/>
      <c r="E110" s="58"/>
    </row>
    <row r="111" spans="2:7" x14ac:dyDescent="0.2">
      <c r="B111" s="56"/>
      <c r="C111" s="57"/>
      <c r="D111" s="58"/>
      <c r="E111" s="58"/>
    </row>
    <row r="112" spans="2:7" x14ac:dyDescent="0.2">
      <c r="B112" s="56"/>
      <c r="C112" s="57"/>
      <c r="D112" s="58"/>
      <c r="E112" s="58"/>
    </row>
    <row r="113" spans="2:5" x14ac:dyDescent="0.2">
      <c r="B113" s="56"/>
      <c r="C113" s="57"/>
      <c r="D113" s="58"/>
      <c r="E113" s="58"/>
    </row>
    <row r="114" spans="2:5" x14ac:dyDescent="0.2">
      <c r="B114" s="56"/>
      <c r="C114" s="57"/>
      <c r="D114" s="58"/>
      <c r="E114" s="58"/>
    </row>
    <row r="115" spans="2:5" x14ac:dyDescent="0.2">
      <c r="B115" s="273"/>
      <c r="C115" s="273"/>
      <c r="D115" s="58"/>
      <c r="E115" s="58"/>
    </row>
  </sheetData>
  <mergeCells count="38">
    <mergeCell ref="B106:C106"/>
    <mergeCell ref="B115:C115"/>
    <mergeCell ref="H59:I59"/>
    <mergeCell ref="F66:G66"/>
    <mergeCell ref="F77:G77"/>
    <mergeCell ref="F86:G86"/>
    <mergeCell ref="B59:B60"/>
    <mergeCell ref="C59:C60"/>
    <mergeCell ref="F59:F60"/>
    <mergeCell ref="G59:G60"/>
    <mergeCell ref="D90:E90"/>
    <mergeCell ref="F90:G90"/>
    <mergeCell ref="C90:C91"/>
    <mergeCell ref="B67:C67"/>
    <mergeCell ref="B73:C73"/>
    <mergeCell ref="B1:B2"/>
    <mergeCell ref="C1:C2"/>
    <mergeCell ref="AB1:AC1"/>
    <mergeCell ref="D59:E59"/>
    <mergeCell ref="B62:C62"/>
    <mergeCell ref="B45:C45"/>
    <mergeCell ref="B54:C54"/>
    <mergeCell ref="B4:C4"/>
    <mergeCell ref="B9:C9"/>
    <mergeCell ref="B15:C15"/>
    <mergeCell ref="B34:C34"/>
    <mergeCell ref="J1:K1"/>
    <mergeCell ref="X1:Y1"/>
    <mergeCell ref="Z1:AA1"/>
    <mergeCell ref="V1:W1"/>
    <mergeCell ref="L1:M1"/>
    <mergeCell ref="N1:O1"/>
    <mergeCell ref="P1:Q1"/>
    <mergeCell ref="R1:S1"/>
    <mergeCell ref="T1:U1"/>
    <mergeCell ref="D1:E1"/>
    <mergeCell ref="F1:G1"/>
    <mergeCell ref="H1:I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0"/>
  <sheetViews>
    <sheetView workbookViewId="0">
      <pane xSplit="4" ySplit="1" topLeftCell="E59" activePane="bottomRight" state="frozen"/>
      <selection pane="topRight" activeCell="E1" sqref="E1"/>
      <selection pane="bottomLeft" activeCell="A2" sqref="A2"/>
      <selection pane="bottomRight" activeCell="A84" sqref="A84"/>
    </sheetView>
  </sheetViews>
  <sheetFormatPr defaultRowHeight="10.5" x14ac:dyDescent="0.15"/>
  <cols>
    <col min="1" max="1" width="9.42578125" style="88" bestFit="1" customWidth="1"/>
    <col min="2" max="2" width="10.42578125" style="88" bestFit="1" customWidth="1"/>
    <col min="3" max="3" width="5" style="88" bestFit="1" customWidth="1"/>
    <col min="4" max="4" width="12.5703125" style="88" bestFit="1" customWidth="1"/>
    <col min="5" max="5" width="20.140625" style="88" bestFit="1" customWidth="1"/>
    <col min="6" max="9" width="18.140625" style="88" bestFit="1" customWidth="1"/>
    <col min="10" max="10" width="22" style="88" bestFit="1" customWidth="1"/>
    <col min="11" max="16" width="18.140625" style="88" bestFit="1" customWidth="1"/>
    <col min="17" max="17" width="22" style="88" bestFit="1" customWidth="1"/>
    <col min="18" max="18" width="18" style="88" bestFit="1" customWidth="1"/>
    <col min="19" max="21" width="9.140625" style="88"/>
    <col min="22" max="23" width="15.28515625" style="88" bestFit="1" customWidth="1"/>
    <col min="24" max="16384" width="9.140625" style="88"/>
  </cols>
  <sheetData>
    <row r="1" spans="1:18" x14ac:dyDescent="0.15">
      <c r="A1" s="287"/>
      <c r="B1" s="287"/>
      <c r="C1" s="287"/>
      <c r="D1" s="287"/>
      <c r="E1" s="109">
        <v>43101</v>
      </c>
      <c r="F1" s="109">
        <v>43132</v>
      </c>
      <c r="G1" s="109">
        <v>43160</v>
      </c>
      <c r="H1" s="109">
        <v>43191</v>
      </c>
      <c r="I1" s="109">
        <v>43221</v>
      </c>
      <c r="J1" s="109">
        <v>43252</v>
      </c>
      <c r="K1" s="109">
        <v>43282</v>
      </c>
      <c r="L1" s="109">
        <v>43313</v>
      </c>
      <c r="M1" s="109">
        <v>43344</v>
      </c>
      <c r="N1" s="109">
        <v>43374</v>
      </c>
      <c r="O1" s="109">
        <v>43405</v>
      </c>
      <c r="P1" s="109">
        <v>43435</v>
      </c>
      <c r="Q1" s="157" t="s">
        <v>28</v>
      </c>
    </row>
    <row r="2" spans="1:18" x14ac:dyDescent="0.15">
      <c r="A2" s="285" t="s">
        <v>4</v>
      </c>
      <c r="B2" s="286" t="s">
        <v>3</v>
      </c>
      <c r="C2" s="155">
        <v>0.05</v>
      </c>
      <c r="D2" s="98" t="s">
        <v>0</v>
      </c>
      <c r="E2" s="111">
        <f>(ROYALTY_CAMPO!D4*0.3)</f>
        <v>59933.536909565999</v>
      </c>
      <c r="F2" s="111">
        <f>(ROYALTY_CAMPO!F4*0.3)</f>
        <v>70859.40806677501</v>
      </c>
      <c r="G2" s="111">
        <f>(ROYALTY_CAMPO!H4*0.3)</f>
        <v>67683.506307782998</v>
      </c>
      <c r="H2" s="111">
        <f>(ROYALTY_CAMPO!J4*0.3)</f>
        <v>51858.020367678902</v>
      </c>
      <c r="I2" s="111">
        <f>(ROYALTY_CAMPO!L4*0.3)</f>
        <v>31005.135058721993</v>
      </c>
      <c r="J2" s="111">
        <f>(ROYALTY_CAMPO!N4*0.3)</f>
        <v>28934.856718008006</v>
      </c>
      <c r="K2" s="111">
        <f>(ROYALTY_CAMPO!P4*0.3)</f>
        <v>96343.943999999989</v>
      </c>
      <c r="L2" s="111">
        <f>(ROYALTY_CAMPO!R4*0.3)</f>
        <v>66734.543999999994</v>
      </c>
      <c r="M2" s="111">
        <f>(ROYALTY_CAMPO!T4*0.3)</f>
        <v>88766.595000000001</v>
      </c>
      <c r="N2" s="111">
        <f>(ROYALTY_CAMPO!V4*0.3)</f>
        <v>75124.739999999991</v>
      </c>
      <c r="O2" s="111">
        <f>(ROYALTY_CAMPO!X4*0.3)</f>
        <v>83947.98</v>
      </c>
      <c r="P2" s="111">
        <f>(ROYALTY_CAMPO!Z4*0.3)</f>
        <v>79599.443999999989</v>
      </c>
      <c r="Q2" s="112">
        <f>SUM(E2:P2)</f>
        <v>800791.7104285328</v>
      </c>
      <c r="R2" s="113"/>
    </row>
    <row r="3" spans="1:18" x14ac:dyDescent="0.15">
      <c r="A3" s="285"/>
      <c r="B3" s="286"/>
      <c r="C3" s="154" t="s">
        <v>2</v>
      </c>
      <c r="D3" s="98" t="s">
        <v>0</v>
      </c>
      <c r="E3" s="111">
        <f>(ROYALTY_CAMPO!E4*0.225)</f>
        <v>38657.131306670082</v>
      </c>
      <c r="F3" s="111">
        <f>(ROYALTY_CAMPO!G4*0.225)</f>
        <v>45704.318203069888</v>
      </c>
      <c r="G3" s="111">
        <f>(ROYALTY_CAMPO!I4*0.225)</f>
        <v>43655.861568520049</v>
      </c>
      <c r="H3" s="111">
        <f>(ROYALTY_CAMPO!K4*0.225)</f>
        <v>33448.423137152902</v>
      </c>
      <c r="I3" s="111">
        <f>(ROYALTY_CAMPO!M4*0.225)</f>
        <v>19998.31211287569</v>
      </c>
      <c r="J3" s="111">
        <f>(ROYALTY_CAMPO!O4*0.225)</f>
        <v>18662.982583115168</v>
      </c>
      <c r="K3" s="111">
        <f>(ROYALTY_CAMPO!Q4*0.225)</f>
        <v>62141.843249999998</v>
      </c>
      <c r="L3" s="111">
        <f>(ROYALTY_CAMPO!S4*0.225)</f>
        <v>43043.780250000003</v>
      </c>
      <c r="M3" s="111">
        <f>(ROYALTY_CAMPO!U4*0.225)</f>
        <v>57254.453999999998</v>
      </c>
      <c r="N3" s="111">
        <f>(ROYALTY_CAMPO!W4*0.225)</f>
        <v>48455.457750000001</v>
      </c>
      <c r="O3" s="111">
        <f>(ROYALTY_CAMPO!Y4*0.225)</f>
        <v>54146.448000000004</v>
      </c>
      <c r="P3" s="111">
        <f>(ROYALTY_CAMPO!AA4*0.225)</f>
        <v>51341.640750000006</v>
      </c>
      <c r="Q3" s="112">
        <f t="shared" ref="Q3:Q45" si="0">SUM(E3:P3)</f>
        <v>516510.6529114038</v>
      </c>
    </row>
    <row r="4" spans="1:18" x14ac:dyDescent="0.15">
      <c r="A4" s="285"/>
      <c r="B4" s="286" t="s">
        <v>5</v>
      </c>
      <c r="C4" s="155">
        <v>0.05</v>
      </c>
      <c r="D4" s="98" t="s">
        <v>6</v>
      </c>
      <c r="E4" s="111">
        <f>VAL_ESTADOS!B3-ROYALTY_CAMPO!D4*0.3</f>
        <v>1133216.9030904339</v>
      </c>
      <c r="F4" s="111">
        <f>VAL_ESTADOS!D3-ROYALTY_CAMPO!F4*0.3</f>
        <v>917604.83193322504</v>
      </c>
      <c r="G4" s="111">
        <f>VAL_ESTADOS!F3-ROYALTY_CAMPO!H4*0.3</f>
        <v>1188894.9236922169</v>
      </c>
      <c r="H4" s="111">
        <f>VAL_ESTADOS!H3-ROYALTY_CAMPO!J4*0.3</f>
        <v>1005579.8096323211</v>
      </c>
      <c r="I4" s="111">
        <f>VAL_ESTADOS!J3-ROYALTY_CAMPO!L4*0.3</f>
        <v>1019105.7649412779</v>
      </c>
      <c r="J4" s="111">
        <f>VAL_ESTADOS!L3-ROYALTY_CAMPO!N4*0.3</f>
        <v>1110493.6832819921</v>
      </c>
      <c r="K4" s="111">
        <f>VAL_ESTADOS!N3-ROYALTY_CAMPO!P4*0.3</f>
        <v>1138272.2960000001</v>
      </c>
      <c r="L4" s="111">
        <f>VAL_ESTADOS!P3-ROYALTY_CAMPO!R4*0.3</f>
        <v>1221041.406</v>
      </c>
      <c r="M4" s="111">
        <f>VAL_ESTADOS!R3-ROYALTY_CAMPO!T4*0.3</f>
        <v>1230298.9350000001</v>
      </c>
      <c r="N4" s="111">
        <f>VAL_ESTADOS!T3-ROYALTY_CAMPO!V4*0.3</f>
        <v>1404293.05</v>
      </c>
      <c r="O4" s="111">
        <f>VAL_ESTADOS!V3-ROYALTY_CAMPO!X4*0.3</f>
        <v>1431791.39</v>
      </c>
      <c r="P4" s="111">
        <f>VAL_ESTADOS!X3-ROYALTY_CAMPO!Z4*0.3</f>
        <v>1440681.5660000001</v>
      </c>
      <c r="Q4" s="112">
        <f t="shared" si="0"/>
        <v>14241274.559571467</v>
      </c>
    </row>
    <row r="5" spans="1:18" x14ac:dyDescent="0.15">
      <c r="A5" s="285"/>
      <c r="B5" s="286"/>
      <c r="C5" s="154" t="s">
        <v>2</v>
      </c>
      <c r="D5" s="98" t="s">
        <v>6</v>
      </c>
      <c r="E5" s="111">
        <f>VAL_ESTADOS!C3-ROYALTY_CAMPO!E4*0.225</f>
        <v>726800.84869332984</v>
      </c>
      <c r="F5" s="111">
        <f>VAL_ESTADOS!E3-ROYALTY_CAMPO!G4*0.225</f>
        <v>598374.51179693022</v>
      </c>
      <c r="G5" s="111">
        <f>VAL_ESTADOS!G3-ROYALTY_CAMPO!I4*0.225</f>
        <v>762597.94843147986</v>
      </c>
      <c r="H5" s="111">
        <f>VAL_ESTADOS!I3-ROYALTY_CAMPO!K4*0.225</f>
        <v>645263.27686284715</v>
      </c>
      <c r="I5" s="111">
        <f>VAL_ESTADOS!K3-ROYALTY_CAMPO!M4*0.225</f>
        <v>646370.9878871243</v>
      </c>
      <c r="J5" s="111">
        <f>VAL_ESTADOS!M3-ROYALTY_CAMPO!O4*0.225</f>
        <v>713742.94741688482</v>
      </c>
      <c r="K5" s="111">
        <f>VAL_ESTADOS!O3-ROYALTY_CAMPO!Q4*0.225</f>
        <v>721023.59674999991</v>
      </c>
      <c r="L5" s="111">
        <f>VAL_ESTADOS!Q3-ROYALTY_CAMPO!S4*0.225</f>
        <v>793696.66975000012</v>
      </c>
      <c r="M5" s="111">
        <f>VAL_ESTADOS!S3-ROYALTY_CAMPO!U4*0.225</f>
        <v>791701.94599999988</v>
      </c>
      <c r="N5" s="111">
        <f>VAL_ESTADOS!U3-ROYALTY_CAMPO!W4*0.225</f>
        <v>906149.32224999997</v>
      </c>
      <c r="O5" s="111">
        <f>VAL_ESTADOS!W3-ROYALTY_CAMPO!Y4*0.225</f>
        <v>922065.22199999995</v>
      </c>
      <c r="P5" s="111">
        <f>VAL_ESTADOS!Y3-ROYALTY_CAMPO!AA4*0.225</f>
        <v>925600.84924999997</v>
      </c>
      <c r="Q5" s="112">
        <f t="shared" si="0"/>
        <v>9153388.1270885952</v>
      </c>
    </row>
    <row r="6" spans="1:18" x14ac:dyDescent="0.15">
      <c r="A6" s="285" t="s">
        <v>8</v>
      </c>
      <c r="B6" s="286" t="s">
        <v>3</v>
      </c>
      <c r="C6" s="155">
        <v>0.05</v>
      </c>
      <c r="D6" s="98" t="s">
        <v>0</v>
      </c>
      <c r="E6" s="111">
        <v>0</v>
      </c>
      <c r="F6" s="111">
        <v>0</v>
      </c>
      <c r="G6" s="111">
        <v>0</v>
      </c>
      <c r="H6" s="111">
        <v>0</v>
      </c>
      <c r="I6" s="111">
        <v>0</v>
      </c>
      <c r="J6" s="111">
        <v>0</v>
      </c>
      <c r="K6" s="111">
        <v>0</v>
      </c>
      <c r="L6" s="111">
        <v>0</v>
      </c>
      <c r="M6" s="111">
        <v>0</v>
      </c>
      <c r="N6" s="111">
        <v>0</v>
      </c>
      <c r="O6" s="111">
        <v>0</v>
      </c>
      <c r="P6" s="111">
        <v>0</v>
      </c>
      <c r="Q6" s="112">
        <f t="shared" si="0"/>
        <v>0</v>
      </c>
    </row>
    <row r="7" spans="1:18" x14ac:dyDescent="0.15">
      <c r="A7" s="285"/>
      <c r="B7" s="286"/>
      <c r="C7" s="154" t="s">
        <v>2</v>
      </c>
      <c r="D7" s="98" t="s">
        <v>0</v>
      </c>
      <c r="E7" s="111">
        <v>0</v>
      </c>
      <c r="F7" s="111">
        <v>0</v>
      </c>
      <c r="G7" s="111">
        <v>0</v>
      </c>
      <c r="H7" s="111">
        <v>0</v>
      </c>
      <c r="I7" s="111">
        <v>0</v>
      </c>
      <c r="J7" s="111">
        <v>0</v>
      </c>
      <c r="K7" s="111">
        <v>0</v>
      </c>
      <c r="L7" s="111">
        <v>0</v>
      </c>
      <c r="M7" s="111">
        <v>0</v>
      </c>
      <c r="N7" s="111">
        <v>0</v>
      </c>
      <c r="O7" s="111">
        <v>0</v>
      </c>
      <c r="P7" s="111">
        <v>0</v>
      </c>
      <c r="Q7" s="112">
        <f t="shared" si="0"/>
        <v>0</v>
      </c>
    </row>
    <row r="8" spans="1:18" x14ac:dyDescent="0.15">
      <c r="A8" s="285"/>
      <c r="B8" s="286" t="s">
        <v>5</v>
      </c>
      <c r="C8" s="155">
        <v>0.05</v>
      </c>
      <c r="D8" s="98" t="s">
        <v>6</v>
      </c>
      <c r="E8" s="111">
        <f>VAL_ESTADOS!B4</f>
        <v>8839555.9100000001</v>
      </c>
      <c r="F8" s="111">
        <f>VAL_ESTADOS!D4</f>
        <v>8920491.9499999993</v>
      </c>
      <c r="G8" s="111">
        <f>VAL_ESTADOS!F4</f>
        <v>9572875.9100000001</v>
      </c>
      <c r="H8" s="111">
        <f>VAL_ESTADOS!H4</f>
        <v>8555236.6199999992</v>
      </c>
      <c r="I8" s="111">
        <f>VAL_ESTADOS!J4</f>
        <v>9334424.8000000007</v>
      </c>
      <c r="J8" s="111">
        <f>VAL_ESTADOS!L4</f>
        <v>10179585.1</v>
      </c>
      <c r="K8" s="111">
        <f>VAL_ESTADOS!N4</f>
        <v>11819404.34</v>
      </c>
      <c r="L8" s="111">
        <f>VAL_ESTADOS!P4</f>
        <v>11426029.310000001</v>
      </c>
      <c r="M8" s="111">
        <f>VAL_ESTADOS!R4</f>
        <v>11780628.689999999</v>
      </c>
      <c r="N8" s="111">
        <f>VAL_ESTADOS!T4</f>
        <v>12754840.449999999</v>
      </c>
      <c r="O8" s="111">
        <f>VAL_ESTADOS!V4</f>
        <v>13628704.99</v>
      </c>
      <c r="P8" s="111">
        <f>VAL_ESTADOS!X4</f>
        <v>12619359.609999999</v>
      </c>
      <c r="Q8" s="112">
        <f t="shared" si="0"/>
        <v>129431137.67999999</v>
      </c>
    </row>
    <row r="9" spans="1:18" x14ac:dyDescent="0.15">
      <c r="A9" s="285"/>
      <c r="B9" s="286"/>
      <c r="C9" s="154" t="s">
        <v>2</v>
      </c>
      <c r="D9" s="98" t="s">
        <v>6</v>
      </c>
      <c r="E9" s="111">
        <f>VAL_ESTADOS!C4</f>
        <v>6342098.4900000002</v>
      </c>
      <c r="F9" s="111">
        <f>VAL_ESTADOS!E4</f>
        <v>6330694.1900000004</v>
      </c>
      <c r="G9" s="111">
        <f>VAL_ESTADOS!G4</f>
        <v>6758722.21</v>
      </c>
      <c r="H9" s="111">
        <f>VAL_ESTADOS!I4</f>
        <v>6083312.5999999996</v>
      </c>
      <c r="I9" s="111">
        <f>VAL_ESTADOS!K4</f>
        <v>6640451.3099999996</v>
      </c>
      <c r="J9" s="111">
        <f>VAL_ESTADOS!M4</f>
        <v>7254593.9299999997</v>
      </c>
      <c r="K9" s="111">
        <f>VAL_ESTADOS!O4</f>
        <v>8428887.4600000009</v>
      </c>
      <c r="L9" s="111">
        <f>VAL_ESTADOS!Q4</f>
        <v>8093060.7199999997</v>
      </c>
      <c r="M9" s="111">
        <f>VAL_ESTADOS!S4</f>
        <v>8363499.1900000004</v>
      </c>
      <c r="N9" s="111">
        <f>VAL_ESTADOS!U4</f>
        <v>9082878.3699999992</v>
      </c>
      <c r="O9" s="111">
        <f>VAL_ESTADOS!W4</f>
        <v>9704201.1500000004</v>
      </c>
      <c r="P9" s="111">
        <f>VAL_ESTADOS!Y4</f>
        <v>8971419.5299999993</v>
      </c>
      <c r="Q9" s="112">
        <f t="shared" si="0"/>
        <v>92053819.150000006</v>
      </c>
    </row>
    <row r="10" spans="1:18" x14ac:dyDescent="0.15">
      <c r="A10" s="285" t="s">
        <v>10</v>
      </c>
      <c r="B10" s="286" t="s">
        <v>3</v>
      </c>
      <c r="C10" s="155">
        <v>0.05</v>
      </c>
      <c r="D10" s="98" t="s">
        <v>0</v>
      </c>
      <c r="E10" s="111">
        <f>ROYALTY_CAMPO!D9*0.3</f>
        <v>1438622.4959486835</v>
      </c>
      <c r="F10" s="111">
        <f>ROYALTY_CAMPO!F9*0.3</f>
        <v>1541914.2984677861</v>
      </c>
      <c r="G10" s="111">
        <f>ROYALTY_CAMPO!H9*0.3</f>
        <v>1249054.7757489777</v>
      </c>
      <c r="H10" s="111">
        <f>ROYALTY_CAMPO!J9*0.3</f>
        <v>1114889.6112152347</v>
      </c>
      <c r="I10" s="111">
        <f>ROYALTY_CAMPO!L9*0.3</f>
        <v>1224663.1392092602</v>
      </c>
      <c r="J10" s="111">
        <f>ROYALTY_CAMPO!N9*0.3</f>
        <v>1124850.6219614171</v>
      </c>
      <c r="K10" s="111">
        <f>ROYALTY_CAMPO!P9*0.3</f>
        <v>1533280.335</v>
      </c>
      <c r="L10" s="111">
        <f>ROYALTY_CAMPO!R9*0.3</f>
        <v>1342794.06</v>
      </c>
      <c r="M10" s="111">
        <f>ROYALTY_CAMPO!T9*0.3</f>
        <v>1427347.4429999997</v>
      </c>
      <c r="N10" s="111">
        <f>ROYALTY_CAMPO!V9*0.3</f>
        <v>1443713.0159999998</v>
      </c>
      <c r="O10" s="111">
        <f>ROYALTY_CAMPO!X9*0.3</f>
        <v>1482979.8150000002</v>
      </c>
      <c r="P10" s="111">
        <f>ROYALTY_CAMPO!Z9*0.3</f>
        <v>1472304.723</v>
      </c>
      <c r="Q10" s="112">
        <f t="shared" si="0"/>
        <v>16396414.33455136</v>
      </c>
    </row>
    <row r="11" spans="1:18" x14ac:dyDescent="0.15">
      <c r="A11" s="285"/>
      <c r="B11" s="286"/>
      <c r="C11" s="154" t="s">
        <v>2</v>
      </c>
      <c r="D11" s="98" t="s">
        <v>0</v>
      </c>
      <c r="E11" s="111">
        <f>ROYALTY_CAMPO!E9*0.225</f>
        <v>541485.69179575518</v>
      </c>
      <c r="F11" s="111">
        <f>ROYALTY_CAMPO!G9*0.225</f>
        <v>580559.32745451713</v>
      </c>
      <c r="G11" s="111">
        <f>ROYALTY_CAMPO!I9*0.225</f>
        <v>470654.82363500475</v>
      </c>
      <c r="H11" s="111">
        <f>ROYALTY_CAMPO!K9*0.225</f>
        <v>420053.51013925526</v>
      </c>
      <c r="I11" s="111">
        <f>ROYALTY_CAMPO!M9*0.225</f>
        <v>461440.16441299219</v>
      </c>
      <c r="J11" s="111">
        <f>ROYALTY_CAMPO!O9*0.225</f>
        <v>424168.30845568964</v>
      </c>
      <c r="K11" s="111">
        <f>ROYALTY_CAMPO!Q9*0.225</f>
        <v>614219.33250000002</v>
      </c>
      <c r="L11" s="111">
        <f>ROYALTY_CAMPO!S9*0.225</f>
        <v>505208.69324999995</v>
      </c>
      <c r="M11" s="111">
        <f>ROYALTY_CAMPO!U9*0.225</f>
        <v>537101.9865</v>
      </c>
      <c r="N11" s="111">
        <f>ROYALTY_CAMPO!W9*0.225</f>
        <v>543818.48400000005</v>
      </c>
      <c r="O11" s="111">
        <f>ROYALTY_CAMPO!Y9*0.225</f>
        <v>558848.74725000001</v>
      </c>
      <c r="P11" s="111">
        <f>ROYALTY_CAMPO!AA9*0.225</f>
        <v>555287.71275000006</v>
      </c>
      <c r="Q11" s="112">
        <f t="shared" si="0"/>
        <v>6212846.7821432147</v>
      </c>
    </row>
    <row r="12" spans="1:18" x14ac:dyDescent="0.15">
      <c r="A12" s="285"/>
      <c r="B12" s="286" t="s">
        <v>5</v>
      </c>
      <c r="C12" s="155">
        <v>0.05</v>
      </c>
      <c r="D12" s="98" t="s">
        <v>6</v>
      </c>
      <c r="E12" s="111">
        <f>VAL_ESTADOS!B5-ROYALTY_CAMPO!D9*0.3</f>
        <v>7385686.2440513168</v>
      </c>
      <c r="F12" s="111">
        <f>VAL_ESTADOS!D5-ROYALTY_CAMPO!F9*0.3</f>
        <v>7795819.3515322143</v>
      </c>
      <c r="G12" s="111">
        <f>VAL_ESTADOS!F5-ROYALTY_CAMPO!H9*0.3</f>
        <v>8286354.6142510232</v>
      </c>
      <c r="H12" s="111">
        <f>VAL_ESTADOS!H5-ROYALTY_CAMPO!J9*0.3</f>
        <v>6860075.4087847658</v>
      </c>
      <c r="I12" s="111">
        <f>VAL_ESTADOS!J5-ROYALTY_CAMPO!L9*0.3</f>
        <v>7481382.9707907392</v>
      </c>
      <c r="J12" s="111">
        <f>VAL_ESTADOS!L5-ROYALTY_CAMPO!N9*0.3</f>
        <v>7995656.0780385826</v>
      </c>
      <c r="K12" s="111">
        <f>VAL_ESTADOS!N5-ROYALTY_CAMPO!P9*0.3</f>
        <v>9142706.0650000013</v>
      </c>
      <c r="L12" s="111">
        <f>VAL_ESTADOS!P5-ROYALTY_CAMPO!R9*0.3</f>
        <v>9208152.5999999996</v>
      </c>
      <c r="M12" s="111">
        <f>VAL_ESTADOS!R5-ROYALTY_CAMPO!T9*0.3</f>
        <v>9530830.9269999992</v>
      </c>
      <c r="N12" s="111">
        <f>VAL_ESTADOS!T5-ROYALTY_CAMPO!V9*0.3</f>
        <v>9670733.0940000005</v>
      </c>
      <c r="O12" s="111">
        <f>VAL_ESTADOS!V5-ROYALTY_CAMPO!X9*0.3</f>
        <v>10527725.175000001</v>
      </c>
      <c r="P12" s="111">
        <f>VAL_ESTADOS!X5-ROYALTY_CAMPO!Z9*0.3</f>
        <v>10492058.907000002</v>
      </c>
      <c r="Q12" s="112">
        <f t="shared" si="0"/>
        <v>104377181.43544863</v>
      </c>
    </row>
    <row r="13" spans="1:18" x14ac:dyDescent="0.15">
      <c r="A13" s="285"/>
      <c r="B13" s="286"/>
      <c r="C13" s="154" t="s">
        <v>2</v>
      </c>
      <c r="D13" s="98" t="s">
        <v>6</v>
      </c>
      <c r="E13" s="111">
        <f>VAL_ESTADOS!C5-ROYALTY_CAMPO!E9*0.225</f>
        <v>4706822.0582042448</v>
      </c>
      <c r="F13" s="111">
        <f>VAL_ESTADOS!E5-ROYALTY_CAMPO!G9*0.225</f>
        <v>4961158.8625454828</v>
      </c>
      <c r="G13" s="111">
        <f>VAL_ESTADOS!G5-ROYALTY_CAMPO!I9*0.225</f>
        <v>5288572.8763649957</v>
      </c>
      <c r="H13" s="111">
        <f>VAL_ESTADOS!I5-ROYALTY_CAMPO!K9*0.225</f>
        <v>4393912.539860745</v>
      </c>
      <c r="I13" s="111">
        <f>VAL_ESTADOS!K5-ROYALTY_CAMPO!M9*0.225</f>
        <v>4766355.0455870079</v>
      </c>
      <c r="J13" s="111">
        <f>VAL_ESTADOS!M5-ROYALTY_CAMPO!O9*0.225</f>
        <v>5105687.1315443097</v>
      </c>
      <c r="K13" s="111">
        <f>VAL_ESTADOS!O5-ROYALTY_CAMPO!Q9*0.225</f>
        <v>5830416.4474999998</v>
      </c>
      <c r="L13" s="111">
        <f>VAL_ESTADOS!Q5-ROYALTY_CAMPO!S9*0.225</f>
        <v>5868143.1067500012</v>
      </c>
      <c r="M13" s="111">
        <f>VAL_ESTADOS!S5-ROYALTY_CAMPO!U9*0.225</f>
        <v>6112760.0434999997</v>
      </c>
      <c r="N13" s="111">
        <f>VAL_ESTADOS!U5-ROYALTY_CAMPO!W9*0.225</f>
        <v>6189019.7159999991</v>
      </c>
      <c r="O13" s="111">
        <f>VAL_ESTADOS!W5-ROYALTY_CAMPO!Y9*0.225</f>
        <v>6735726.8627500003</v>
      </c>
      <c r="P13" s="111">
        <f>VAL_ESTADOS!Y5-ROYALTY_CAMPO!AA9*0.225</f>
        <v>6755979.3372499999</v>
      </c>
      <c r="Q13" s="112">
        <f t="shared" si="0"/>
        <v>66714554.02785679</v>
      </c>
    </row>
    <row r="14" spans="1:18" x14ac:dyDescent="0.15">
      <c r="A14" s="285" t="s">
        <v>11</v>
      </c>
      <c r="B14" s="286" t="s">
        <v>3</v>
      </c>
      <c r="C14" s="155">
        <v>0.05</v>
      </c>
      <c r="D14" s="98" t="s">
        <v>0</v>
      </c>
      <c r="E14" s="111">
        <f>ROYALTY_CAMPO!D15*0.3</f>
        <v>385606.50557790155</v>
      </c>
      <c r="F14" s="111">
        <f>ROYALTY_CAMPO!F15*0.3</f>
        <v>379096.2873454275</v>
      </c>
      <c r="G14" s="111">
        <f>ROYALTY_CAMPO!H15*0.3</f>
        <v>391736.07520904648</v>
      </c>
      <c r="H14" s="111">
        <f>ROYALTY_CAMPO!J15*0.3</f>
        <v>340020.45912784652</v>
      </c>
      <c r="I14" s="111">
        <f>ROYALTY_CAMPO!L15*0.3</f>
        <v>398613.1525952415</v>
      </c>
      <c r="J14" s="111">
        <f>ROYALTY_CAMPO!N15*0.3</f>
        <v>468189.69742237806</v>
      </c>
      <c r="K14" s="111">
        <f>ROYALTY_CAMPO!P15*0.3</f>
        <v>567838.21199999994</v>
      </c>
      <c r="L14" s="111">
        <f>ROYALTY_CAMPO!R15*0.3</f>
        <v>553577.598</v>
      </c>
      <c r="M14" s="111">
        <f>ROYALTY_CAMPO!T15*0.3</f>
        <v>587927.87399999995</v>
      </c>
      <c r="N14" s="111">
        <f>ROYALTY_CAMPO!V15*0.3</f>
        <v>602440.73100000003</v>
      </c>
      <c r="O14" s="111">
        <f>ROYALTY_CAMPO!X15*0.3</f>
        <v>637553.16299999994</v>
      </c>
      <c r="P14" s="111">
        <f>ROYALTY_CAMPO!Z15*0.3</f>
        <v>634244.772</v>
      </c>
      <c r="Q14" s="112">
        <f t="shared" si="0"/>
        <v>5946844.5272778412</v>
      </c>
    </row>
    <row r="15" spans="1:18" x14ac:dyDescent="0.15">
      <c r="A15" s="285"/>
      <c r="B15" s="286"/>
      <c r="C15" s="154" t="s">
        <v>2</v>
      </c>
      <c r="D15" s="98" t="s">
        <v>0</v>
      </c>
      <c r="E15" s="111">
        <f>ROYALTY_CAMPO!E15*0.225</f>
        <v>289204.87918342615</v>
      </c>
      <c r="F15" s="111">
        <f>ROYALTY_CAMPO!G15*0.225</f>
        <v>284322.21550907067</v>
      </c>
      <c r="G15" s="111">
        <f>ROYALTY_CAMPO!I15*0.225</f>
        <v>293802.05640678486</v>
      </c>
      <c r="H15" s="111">
        <f>ROYALTY_CAMPO!K15*0.225</f>
        <v>255015.34434588489</v>
      </c>
      <c r="I15" s="111">
        <f>ROYALTY_CAMPO!M15*0.225</f>
        <v>298959.86444643117</v>
      </c>
      <c r="J15" s="111">
        <f>ROYALTY_CAMPO!O15*0.225</f>
        <v>351142.27306678356</v>
      </c>
      <c r="K15" s="111">
        <f>ROYALTY_CAMPO!Q15*0.225</f>
        <v>425878.65900000004</v>
      </c>
      <c r="L15" s="111">
        <f>ROYALTY_CAMPO!S15*0.225</f>
        <v>415183.19850000006</v>
      </c>
      <c r="M15" s="111">
        <f>ROYALTY_CAMPO!U15*0.225</f>
        <v>440945.90549999999</v>
      </c>
      <c r="N15" s="111">
        <f>ROYALTY_CAMPO!W15*0.225</f>
        <v>451830.54824999999</v>
      </c>
      <c r="O15" s="111">
        <f>ROYALTY_CAMPO!Y15*0.225</f>
        <v>478164.87225000001</v>
      </c>
      <c r="P15" s="111">
        <f>ROYALTY_CAMPO!AA15*0.225</f>
        <v>475683.57900000009</v>
      </c>
      <c r="Q15" s="112">
        <f t="shared" si="0"/>
        <v>4460133.3954583816</v>
      </c>
    </row>
    <row r="16" spans="1:18" x14ac:dyDescent="0.15">
      <c r="A16" s="285"/>
      <c r="B16" s="286" t="s">
        <v>5</v>
      </c>
      <c r="C16" s="155">
        <v>0.05</v>
      </c>
      <c r="D16" s="98" t="s">
        <v>6</v>
      </c>
      <c r="E16" s="208">
        <f>VAL_ESTADOS!B6-ROYALTY_CAMPO!D15*0.3</f>
        <v>197762.91442209849</v>
      </c>
      <c r="F16" s="208">
        <f>VAL_ESTADOS!D6-ROYALTY_CAMPO!F15*0.3</f>
        <v>210099.24265457253</v>
      </c>
      <c r="G16" s="208">
        <f>VAL_ESTADOS!F6-ROYALTY_CAMPO!H15*0.3</f>
        <v>193582.14479095349</v>
      </c>
      <c r="H16" s="208">
        <f>VAL_ESTADOS!H6-ROYALTY_CAMPO!J15*0.3</f>
        <v>167567.30087215349</v>
      </c>
      <c r="I16" s="208">
        <f>VAL_ESTADOS!J6-ROYALTY_CAMPO!L15*0.3</f>
        <v>188598.5974047585</v>
      </c>
      <c r="J16" s="208">
        <f>VAL_ESTADOS!L6-ROYALTY_CAMPO!N15*0.3</f>
        <v>209786.82257762196</v>
      </c>
      <c r="K16" s="208">
        <f>VAL_ESTADOS!N6-ROYALTY_CAMPO!P15*0.3</f>
        <v>209280.67800000007</v>
      </c>
      <c r="L16" s="208">
        <f>VAL_ESTADOS!P6-ROYALTY_CAMPO!R15*0.3</f>
        <v>301074.28200000001</v>
      </c>
      <c r="M16" s="208">
        <f>VAL_ESTADOS!R6-ROYALTY_CAMPO!T15*0.3</f>
        <v>277232.99600000004</v>
      </c>
      <c r="N16" s="208">
        <f>VAL_ESTADOS!T6-ROYALTY_CAMPO!V15*0.3</f>
        <v>272217.45899999992</v>
      </c>
      <c r="O16" s="208">
        <f>VAL_ESTADOS!V6-ROYALTY_CAMPO!X15*0.3</f>
        <v>302245.37700000009</v>
      </c>
      <c r="P16" s="208">
        <f>VAL_ESTADOS!X6-ROYALTY_CAMPO!Z15*0.3</f>
        <v>290602.43799999997</v>
      </c>
      <c r="Q16" s="112">
        <f t="shared" si="0"/>
        <v>2820050.252722159</v>
      </c>
    </row>
    <row r="17" spans="1:17" x14ac:dyDescent="0.15">
      <c r="A17" s="285"/>
      <c r="B17" s="286"/>
      <c r="C17" s="154" t="s">
        <v>2</v>
      </c>
      <c r="D17" s="98" t="s">
        <v>6</v>
      </c>
      <c r="E17" s="208">
        <f>VAL_ESTADOS!C6-ROYALTY_CAMPO!E15*0.225</f>
        <v>83155.760816573864</v>
      </c>
      <c r="F17" s="208">
        <f>VAL_ESTADOS!E6-ROYALTY_CAMPO!G15*0.225</f>
        <v>88389.454490929376</v>
      </c>
      <c r="G17" s="208">
        <f>VAL_ESTADOS!G6-ROYALTY_CAMPO!I15*0.225</f>
        <v>81446.733593215118</v>
      </c>
      <c r="H17" s="208">
        <f>VAL_ESTADOS!I6-ROYALTY_CAMPO!K15*0.225</f>
        <v>70499.995654115075</v>
      </c>
      <c r="I17" s="208">
        <f>VAL_ESTADOS!K6-ROYALTY_CAMPO!M15*0.225</f>
        <v>79302.085553568846</v>
      </c>
      <c r="J17" s="208">
        <f>VAL_ESTADOS!M6-ROYALTY_CAMPO!O15*0.225</f>
        <v>88232.04693321645</v>
      </c>
      <c r="K17" s="208">
        <f>VAL_ESTADOS!O6-ROYALTY_CAMPO!Q15*0.225</f>
        <v>88029.400999999954</v>
      </c>
      <c r="L17" s="208">
        <f>VAL_ESTADOS!Q6-ROYALTY_CAMPO!S15*0.225</f>
        <v>126709.81149999995</v>
      </c>
      <c r="M17" s="208">
        <f>VAL_ESTADOS!S6-ROYALTY_CAMPO!U15*0.225</f>
        <v>116694.43450000009</v>
      </c>
      <c r="N17" s="208">
        <f>VAL_ESTADOS!U6-ROYALTY_CAMPO!W15*0.225</f>
        <v>114549.76174999995</v>
      </c>
      <c r="O17" s="208">
        <f>VAL_ESTADOS!W6-ROYALTY_CAMPO!Y15*0.225</f>
        <v>127229.48774999997</v>
      </c>
      <c r="P17" s="208">
        <f>VAL_ESTADOS!Y6-ROYALTY_CAMPO!AA15*0.225</f>
        <v>122267.82099999994</v>
      </c>
      <c r="Q17" s="112">
        <f t="shared" si="0"/>
        <v>1186506.7945416188</v>
      </c>
    </row>
    <row r="18" spans="1:17" x14ac:dyDescent="0.15">
      <c r="A18" s="285" t="s">
        <v>12</v>
      </c>
      <c r="B18" s="286" t="s">
        <v>3</v>
      </c>
      <c r="C18" s="155">
        <v>0.05</v>
      </c>
      <c r="D18" s="98" t="s">
        <v>0</v>
      </c>
      <c r="E18" s="208">
        <f>ROYALTY_CAMPO!D34*0.3</f>
        <v>30568573.52247202</v>
      </c>
      <c r="F18" s="208">
        <f>ROYALTY_CAMPO!F34*0.3</f>
        <v>34286616.073281437</v>
      </c>
      <c r="G18" s="208">
        <f>ROYALTY_CAMPO!H34*0.3</f>
        <v>33564752.379688695</v>
      </c>
      <c r="H18" s="208">
        <f>ROYALTY_CAMPO!J34*0.3</f>
        <v>27954279.815031085</v>
      </c>
      <c r="I18" s="208">
        <f>ROYALTY_CAMPO!L34*0.3</f>
        <v>31441186.610659033</v>
      </c>
      <c r="J18" s="208">
        <f>ROYALTY_CAMPO!N34*0.3</f>
        <v>35930466.542414568</v>
      </c>
      <c r="K18" s="208">
        <f>ROYALTY_CAMPO!P34*0.3</f>
        <v>41893081.359717138</v>
      </c>
      <c r="L18" s="208">
        <f>ROYALTY_CAMPO!R34*0.3</f>
        <v>38485766.889907792</v>
      </c>
      <c r="M18" s="208">
        <f>ROYALTY_CAMPO!T34*0.3</f>
        <v>39329483.262700945</v>
      </c>
      <c r="N18" s="208">
        <f>ROYALTY_CAMPO!V34*0.3</f>
        <v>43454302.907561257</v>
      </c>
      <c r="O18" s="208">
        <f>ROYALTY_CAMPO!X34*0.3</f>
        <v>40008593.408158645</v>
      </c>
      <c r="P18" s="208">
        <f>ROYALTY_CAMPO!Z34*0.3</f>
        <v>46819395.052576579</v>
      </c>
      <c r="Q18" s="112">
        <f t="shared" si="0"/>
        <v>443736497.82416928</v>
      </c>
    </row>
    <row r="19" spans="1:17" x14ac:dyDescent="0.15">
      <c r="A19" s="285"/>
      <c r="B19" s="286"/>
      <c r="C19" s="154" t="s">
        <v>2</v>
      </c>
      <c r="D19" s="98" t="s">
        <v>0</v>
      </c>
      <c r="E19" s="208">
        <f>ROYALTY_CAMPO!E34*0.225</f>
        <v>24926989.452791233</v>
      </c>
      <c r="F19" s="208">
        <f>ROYALTY_CAMPO!G34*0.225</f>
        <v>27841845.317489352</v>
      </c>
      <c r="G19" s="208">
        <f>ROYALTY_CAMPO!I34*0.225</f>
        <v>27243244.091106962</v>
      </c>
      <c r="H19" s="208">
        <f>ROYALTY_CAMPO!K34*0.225</f>
        <v>22732053.203993578</v>
      </c>
      <c r="I19" s="208">
        <f>ROYALTY_CAMPO!M34*0.225</f>
        <v>25593291.968389563</v>
      </c>
      <c r="J19" s="208">
        <f>ROYALTY_CAMPO!O34*0.225</f>
        <v>29095959.435224097</v>
      </c>
      <c r="K19" s="208">
        <f>ROYALTY_CAMPO!Q34*0.225</f>
        <v>33864065.372962818</v>
      </c>
      <c r="L19" s="208">
        <f>ROYALTY_CAMPO!S34*0.225</f>
        <v>31246798.302541941</v>
      </c>
      <c r="M19" s="208">
        <f>ROYALTY_CAMPO!U34*0.225</f>
        <v>31599980.008776985</v>
      </c>
      <c r="N19" s="208">
        <f>ROYALTY_CAMPO!W34*0.225</f>
        <v>34844447.401024923</v>
      </c>
      <c r="O19" s="208">
        <f>ROYALTY_CAMPO!Y34*0.225</f>
        <v>32192646.425799787</v>
      </c>
      <c r="P19" s="208">
        <f>ROYALTY_CAMPO!AA34*0.225</f>
        <v>37698096.589468487</v>
      </c>
      <c r="Q19" s="112">
        <f t="shared" si="0"/>
        <v>358879417.56956971</v>
      </c>
    </row>
    <row r="20" spans="1:17" x14ac:dyDescent="0.15">
      <c r="A20" s="285"/>
      <c r="B20" s="286" t="s">
        <v>5</v>
      </c>
      <c r="C20" s="155">
        <v>0.05</v>
      </c>
      <c r="D20" s="98" t="s">
        <v>6</v>
      </c>
      <c r="E20" s="111">
        <f>VAL_ESTADOS!B7-ROYALTY_CAMPO!D34*0.3</f>
        <v>2006235.2075279802</v>
      </c>
      <c r="F20" s="111">
        <f>VAL_ESTADOS!D7-ROYALTY_CAMPO!F34*0.3</f>
        <v>2072673.6067185625</v>
      </c>
      <c r="G20" s="111">
        <f>VAL_ESTADOS!F7-ROYALTY_CAMPO!H34*0.3</f>
        <v>2198890.3603112996</v>
      </c>
      <c r="H20" s="111">
        <f>VAL_ESTADOS!H7-ROYALTY_CAMPO!J34*0.3</f>
        <v>1879301.4549689144</v>
      </c>
      <c r="I20" s="111">
        <f>VAL_ESTADOS!J7-ROYALTY_CAMPO!L34*0.3</f>
        <v>2008840.8293409683</v>
      </c>
      <c r="J20" s="111">
        <f>VAL_ESTADOS!L7-ROYALTY_CAMPO!N34*0.3</f>
        <v>2234861.2075854316</v>
      </c>
      <c r="K20" s="111">
        <f>VAL_ESTADOS!N7-ROYALTY_CAMPO!P34*0.3</f>
        <v>2607570.8102828637</v>
      </c>
      <c r="L20" s="111">
        <f>VAL_ESTADOS!P7-ROYALTY_CAMPO!R34*0.3</f>
        <v>2461297.490092203</v>
      </c>
      <c r="M20" s="111">
        <f>VAL_ESTADOS!R7-ROYALTY_CAMPO!T34*0.3</f>
        <v>2578792.8072990552</v>
      </c>
      <c r="N20" s="111">
        <f>VAL_ESTADOS!T7-ROYALTY_CAMPO!V34*0.3</f>
        <v>2417915.6824387461</v>
      </c>
      <c r="O20" s="111">
        <f>VAL_ESTADOS!V7-ROYALTY_CAMPO!X34*0.3</f>
        <v>2626319.2018413544</v>
      </c>
      <c r="P20" s="111">
        <f>VAL_ESTADOS!X7-ROYALTY_CAMPO!Z34*0.3</f>
        <v>2596553.7974234223</v>
      </c>
      <c r="Q20" s="112">
        <f t="shared" si="0"/>
        <v>27689252.455830801</v>
      </c>
    </row>
    <row r="21" spans="1:17" x14ac:dyDescent="0.15">
      <c r="A21" s="285"/>
      <c r="B21" s="286"/>
      <c r="C21" s="154" t="s">
        <v>2</v>
      </c>
      <c r="D21" s="98" t="s">
        <v>6</v>
      </c>
      <c r="E21" s="111">
        <f>VAL_ESTADOS!C7-ROYALTY_CAMPO!E34*0.225</f>
        <v>1213350.1472087689</v>
      </c>
      <c r="F21" s="111">
        <f>VAL_ESTADOS!E7-ROYALTY_CAMPO!G34*0.225</f>
        <v>1234226.052510649</v>
      </c>
      <c r="G21" s="111">
        <f>VAL_ESTADOS!G7-ROYALTY_CAMPO!I34*0.225</f>
        <v>1301538.3588930368</v>
      </c>
      <c r="H21" s="111">
        <f>VAL_ESTADOS!I7-ROYALTY_CAMPO!K34*0.225</f>
        <v>1113823.3360064216</v>
      </c>
      <c r="I21" s="111">
        <f>VAL_ESTADOS!K7-ROYALTY_CAMPO!M34*0.225</f>
        <v>1172245.9716104381</v>
      </c>
      <c r="J21" s="111">
        <f>VAL_ESTADOS!M7-ROYALTY_CAMPO!O34*0.225</f>
        <v>1304937.7947759032</v>
      </c>
      <c r="K21" s="111">
        <f>VAL_ESTADOS!O7-ROYALTY_CAMPO!Q34*0.225</f>
        <v>1509356.7270371839</v>
      </c>
      <c r="L21" s="111">
        <f>VAL_ESTADOS!Q7-ROYALTY_CAMPO!S34*0.225</f>
        <v>1413205.3874580599</v>
      </c>
      <c r="M21" s="111">
        <f>VAL_ESTADOS!S7-ROYALTY_CAMPO!U34*0.225</f>
        <v>1477314.0012230128</v>
      </c>
      <c r="N21" s="111">
        <f>VAL_ESTADOS!U7-ROYALTY_CAMPO!W34*0.225</f>
        <v>1386168.918975085</v>
      </c>
      <c r="O21" s="111">
        <f>VAL_ESTADOS!W7-ROYALTY_CAMPO!Y34*0.225</f>
        <v>1531726.3042002171</v>
      </c>
      <c r="P21" s="111">
        <f>VAL_ESTADOS!Y7-ROYALTY_CAMPO!AA34*0.225</f>
        <v>1502413.7005315199</v>
      </c>
      <c r="Q21" s="112">
        <f t="shared" si="0"/>
        <v>16160306.700430296</v>
      </c>
    </row>
    <row r="22" spans="1:17" x14ac:dyDescent="0.15">
      <c r="A22" s="285" t="s">
        <v>13</v>
      </c>
      <c r="B22" s="286" t="s">
        <v>3</v>
      </c>
      <c r="C22" s="155">
        <v>0.05</v>
      </c>
      <c r="D22" s="98" t="s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  <c r="O22" s="111">
        <v>0</v>
      </c>
      <c r="P22" s="111">
        <v>0</v>
      </c>
      <c r="Q22" s="112">
        <f t="shared" si="0"/>
        <v>0</v>
      </c>
    </row>
    <row r="23" spans="1:17" x14ac:dyDescent="0.15">
      <c r="A23" s="285"/>
      <c r="B23" s="286"/>
      <c r="C23" s="154" t="s">
        <v>2</v>
      </c>
      <c r="D23" s="98" t="s">
        <v>0</v>
      </c>
      <c r="E23" s="111">
        <v>0</v>
      </c>
      <c r="F23" s="111">
        <v>0</v>
      </c>
      <c r="G23" s="111">
        <v>0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11">
        <v>0</v>
      </c>
      <c r="Q23" s="112">
        <f t="shared" si="0"/>
        <v>0</v>
      </c>
    </row>
    <row r="24" spans="1:17" x14ac:dyDescent="0.15">
      <c r="A24" s="285"/>
      <c r="B24" s="286" t="s">
        <v>5</v>
      </c>
      <c r="C24" s="155">
        <v>0.05</v>
      </c>
      <c r="D24" s="98" t="s">
        <v>6</v>
      </c>
      <c r="E24" s="111">
        <f>VAL_ESTADOS!B8</f>
        <v>3143239.27</v>
      </c>
      <c r="F24" s="111">
        <f>VAL_ESTADOS!D8</f>
        <v>3138181.61</v>
      </c>
      <c r="G24" s="111">
        <f>VAL_ESTADOS!F8</f>
        <v>3206638.71</v>
      </c>
      <c r="H24" s="111">
        <f>VAL_ESTADOS!H8</f>
        <v>59442.67</v>
      </c>
      <c r="I24" s="111">
        <f>VAL_ESTADOS!J8</f>
        <v>2610.09</v>
      </c>
      <c r="J24" s="111">
        <f>VAL_ESTADOS!L8</f>
        <v>215997.53</v>
      </c>
      <c r="K24" s="111">
        <f>VAL_ESTADOS!N8</f>
        <v>35377.4</v>
      </c>
      <c r="L24" s="111">
        <f>VAL_ESTADOS!P8</f>
        <v>2867798.28</v>
      </c>
      <c r="M24" s="111">
        <f>VAL_ESTADOS!R8</f>
        <v>3834945.2</v>
      </c>
      <c r="N24" s="111">
        <f>VAL_ESTADOS!T8</f>
        <v>4069666.9</v>
      </c>
      <c r="O24" s="111">
        <f>VAL_ESTADOS!V8</f>
        <v>4283857.47</v>
      </c>
      <c r="P24" s="111">
        <f>VAL_ESTADOS!X8</f>
        <v>3791689.75</v>
      </c>
      <c r="Q24" s="112">
        <f t="shared" si="0"/>
        <v>28649444.879999995</v>
      </c>
    </row>
    <row r="25" spans="1:17" x14ac:dyDescent="0.15">
      <c r="A25" s="285"/>
      <c r="B25" s="286"/>
      <c r="C25" s="154" t="s">
        <v>2</v>
      </c>
      <c r="D25" s="98" t="s">
        <v>6</v>
      </c>
      <c r="E25" s="111">
        <f>VAL_ESTADOS!C8</f>
        <v>2357429.4500000002</v>
      </c>
      <c r="F25" s="111">
        <f>VAL_ESTADOS!E8</f>
        <v>2353636.21</v>
      </c>
      <c r="G25" s="111">
        <f>VAL_ESTADOS!G8</f>
        <v>2404979.0299999998</v>
      </c>
      <c r="H25" s="111">
        <f>VAL_ESTADOS!I8</f>
        <v>44582</v>
      </c>
      <c r="I25" s="111">
        <f>VAL_ESTADOS!K8</f>
        <v>1957.56</v>
      </c>
      <c r="J25" s="111">
        <f>VAL_ESTADOS!M8</f>
        <v>161998.15</v>
      </c>
      <c r="K25" s="111">
        <f>VAL_ESTADOS!O8</f>
        <v>26533.05</v>
      </c>
      <c r="L25" s="111">
        <f>VAL_ESTADOS!Q8</f>
        <v>2150848.71</v>
      </c>
      <c r="M25" s="111">
        <f>VAL_ESTADOS!S8</f>
        <v>2876208.9</v>
      </c>
      <c r="N25" s="111">
        <f>VAL_ESTADOS!U8</f>
        <v>3052250.17</v>
      </c>
      <c r="O25" s="111">
        <f>VAL_ESTADOS!W8</f>
        <v>3212893.1</v>
      </c>
      <c r="P25" s="111">
        <f>VAL_ESTADOS!Y8</f>
        <v>2843767.31</v>
      </c>
      <c r="Q25" s="112">
        <f t="shared" si="0"/>
        <v>21487083.640000001</v>
      </c>
    </row>
    <row r="26" spans="1:17" x14ac:dyDescent="0.15">
      <c r="A26" s="285" t="s">
        <v>18</v>
      </c>
      <c r="B26" s="286" t="s">
        <v>3</v>
      </c>
      <c r="C26" s="155">
        <v>0.05</v>
      </c>
      <c r="D26" s="98" t="s">
        <v>0</v>
      </c>
      <c r="E26" s="111">
        <f>VAL_ESTADOS!B9</f>
        <v>581765.62</v>
      </c>
      <c r="F26" s="111">
        <f>VAL_ESTADOS!D9</f>
        <v>652122.74</v>
      </c>
      <c r="G26" s="111">
        <f>VAL_ESTADOS!F9</f>
        <v>574176.76</v>
      </c>
      <c r="H26" s="111">
        <f>VAL_ESTADOS!H9</f>
        <v>514902.01</v>
      </c>
      <c r="I26" s="111">
        <f>VAL_ESTADOS!J9</f>
        <v>512103.19</v>
      </c>
      <c r="J26" s="111">
        <f>VAL_ESTADOS!L9</f>
        <v>524988.84</v>
      </c>
      <c r="K26" s="111">
        <f>VAL_ESTADOS!N9</f>
        <v>602144.29</v>
      </c>
      <c r="L26" s="111">
        <f>VAL_ESTADOS!P9</f>
        <v>713733.24</v>
      </c>
      <c r="M26" s="111">
        <f>VAL_ESTADOS!R9</f>
        <v>700116.64</v>
      </c>
      <c r="N26" s="111">
        <f>VAL_ESTADOS!T9</f>
        <v>684563.44</v>
      </c>
      <c r="O26" s="111">
        <f>VAL_ESTADOS!V9</f>
        <v>714954.57</v>
      </c>
      <c r="P26" s="111">
        <f>VAL_ESTADOS!X9</f>
        <v>721576.88</v>
      </c>
      <c r="Q26" s="112">
        <f t="shared" si="0"/>
        <v>7497148.2199999997</v>
      </c>
    </row>
    <row r="27" spans="1:17" x14ac:dyDescent="0.15">
      <c r="A27" s="285"/>
      <c r="B27" s="286"/>
      <c r="C27" s="154" t="s">
        <v>2</v>
      </c>
      <c r="D27" s="98" t="s">
        <v>0</v>
      </c>
      <c r="E27" s="111">
        <f>VAL_ESTADOS!C9</f>
        <v>0</v>
      </c>
      <c r="F27" s="111">
        <f>VAL_ESTADOS!E9</f>
        <v>0</v>
      </c>
      <c r="G27" s="111">
        <f>VAL_ESTADOS!G9</f>
        <v>0</v>
      </c>
      <c r="H27" s="111">
        <f>VAL_ESTADOS!I9</f>
        <v>0</v>
      </c>
      <c r="I27" s="111">
        <f>VAL_ESTADOS!K9</f>
        <v>0</v>
      </c>
      <c r="J27" s="111">
        <f>VAL_ESTADOS!M9</f>
        <v>0</v>
      </c>
      <c r="K27" s="111">
        <f>VAL_ESTADOS!O9</f>
        <v>0</v>
      </c>
      <c r="L27" s="111">
        <f>VAL_ESTADOS!Q9</f>
        <v>0</v>
      </c>
      <c r="M27" s="111">
        <f>VAL_ESTADOS!S9</f>
        <v>0</v>
      </c>
      <c r="N27" s="111">
        <f>VAL_ESTADOS!U9</f>
        <v>0</v>
      </c>
      <c r="O27" s="111">
        <f>VAL_ESTADOS!W9</f>
        <v>0</v>
      </c>
      <c r="P27" s="111">
        <f>VAL_ESTADOS!Y9</f>
        <v>0</v>
      </c>
      <c r="Q27" s="112">
        <f t="shared" si="0"/>
        <v>0</v>
      </c>
    </row>
    <row r="28" spans="1:17" x14ac:dyDescent="0.15">
      <c r="A28" s="285"/>
      <c r="B28" s="286" t="s">
        <v>5</v>
      </c>
      <c r="C28" s="155">
        <v>0.05</v>
      </c>
      <c r="D28" s="98" t="s">
        <v>6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112">
        <f t="shared" si="0"/>
        <v>0</v>
      </c>
    </row>
    <row r="29" spans="1:17" x14ac:dyDescent="0.15">
      <c r="A29" s="285"/>
      <c r="B29" s="286"/>
      <c r="C29" s="154" t="s">
        <v>2</v>
      </c>
      <c r="D29" s="98" t="s">
        <v>6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111">
        <v>0</v>
      </c>
      <c r="M29" s="111">
        <v>0</v>
      </c>
      <c r="N29" s="111">
        <v>0</v>
      </c>
      <c r="O29" s="111">
        <v>0</v>
      </c>
      <c r="P29" s="111">
        <v>0</v>
      </c>
      <c r="Q29" s="112">
        <f t="shared" si="0"/>
        <v>0</v>
      </c>
    </row>
    <row r="30" spans="1:17" x14ac:dyDescent="0.15">
      <c r="A30" s="285" t="s">
        <v>19</v>
      </c>
      <c r="B30" s="286" t="s">
        <v>3</v>
      </c>
      <c r="C30" s="155">
        <v>0.05</v>
      </c>
      <c r="D30" s="98" t="s">
        <v>0</v>
      </c>
      <c r="E30" s="111">
        <f>VAL_ESTADOS!B10</f>
        <v>160576620.92999998</v>
      </c>
      <c r="F30" s="111">
        <f>VAL_ESTADOS!D10</f>
        <v>163631228.52999997</v>
      </c>
      <c r="G30" s="111">
        <f>VAL_ESTADOS!F10</f>
        <v>176657908.51999998</v>
      </c>
      <c r="H30" s="111">
        <f>VAL_ESTADOS!H10</f>
        <v>150520197.54000002</v>
      </c>
      <c r="I30" s="111">
        <f>VAL_ESTADOS!J10</f>
        <v>165625692.87</v>
      </c>
      <c r="J30" s="111">
        <f>VAL_ESTADOS!L10</f>
        <v>186301878.84</v>
      </c>
      <c r="K30" s="111">
        <f>VAL_ESTADOS!N10</f>
        <v>220329947.77000001</v>
      </c>
      <c r="L30" s="111">
        <f>VAL_ESTADOS!P10</f>
        <v>216023629.87</v>
      </c>
      <c r="M30" s="111">
        <f>VAL_ESTADOS!R10</f>
        <v>227948609.72999999</v>
      </c>
      <c r="N30" s="111">
        <f>VAL_ESTADOS!T10</f>
        <v>211944751.47000003</v>
      </c>
      <c r="O30" s="111">
        <f>VAL_ESTADOS!V10</f>
        <v>273228583.8335951</v>
      </c>
      <c r="P30" s="111">
        <f>VAL_ESTADOS!X10</f>
        <v>251094373.94100001</v>
      </c>
      <c r="Q30" s="112">
        <f t="shared" si="0"/>
        <v>2403883423.844595</v>
      </c>
    </row>
    <row r="31" spans="1:17" x14ac:dyDescent="0.15">
      <c r="A31" s="285"/>
      <c r="B31" s="286"/>
      <c r="C31" s="154" t="s">
        <v>2</v>
      </c>
      <c r="D31" s="98" t="s">
        <v>0</v>
      </c>
      <c r="E31" s="111">
        <f>VAL_ESTADOS!C10</f>
        <v>117755772.55000001</v>
      </c>
      <c r="F31" s="111">
        <f>VAL_ESTADOS!E10</f>
        <v>119877315.03</v>
      </c>
      <c r="G31" s="111">
        <f>VAL_ESTADOS!G10</f>
        <v>129646858.01000001</v>
      </c>
      <c r="H31" s="111">
        <f>VAL_ESTADOS!I10</f>
        <v>110565863.56</v>
      </c>
      <c r="I31" s="111">
        <f>VAL_ESTADOS!K10</f>
        <v>121542962.66</v>
      </c>
      <c r="J31" s="111">
        <f>VAL_ESTADOS!M10</f>
        <v>136890973.59</v>
      </c>
      <c r="K31" s="111">
        <f>VAL_ESTADOS!O10</f>
        <v>161773237.47</v>
      </c>
      <c r="L31" s="111">
        <f>VAL_ESTADOS!Q10</f>
        <v>158454007.31000003</v>
      </c>
      <c r="M31" s="111">
        <f>VAL_ESTADOS!S10</f>
        <v>167562200.39000002</v>
      </c>
      <c r="N31" s="111">
        <f>VAL_ESTADOS!U10</f>
        <v>155613981.97999999</v>
      </c>
      <c r="O31" s="111">
        <f>VAL_ESTADOS!W10</f>
        <v>228584841.33280367</v>
      </c>
      <c r="P31" s="111">
        <f>VAL_ESTADOS!Y10</f>
        <v>184672796.59924999</v>
      </c>
      <c r="Q31" s="112">
        <f t="shared" si="0"/>
        <v>1792940810.482054</v>
      </c>
    </row>
    <row r="32" spans="1:17" x14ac:dyDescent="0.15">
      <c r="A32" s="285"/>
      <c r="B32" s="286" t="s">
        <v>5</v>
      </c>
      <c r="C32" s="155">
        <v>0.05</v>
      </c>
      <c r="D32" s="98" t="s">
        <v>6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11">
        <v>0</v>
      </c>
      <c r="O32" s="111">
        <v>0</v>
      </c>
      <c r="P32" s="111">
        <v>0</v>
      </c>
      <c r="Q32" s="112">
        <f t="shared" si="0"/>
        <v>0</v>
      </c>
    </row>
    <row r="33" spans="1:18" x14ac:dyDescent="0.15">
      <c r="A33" s="285"/>
      <c r="B33" s="286"/>
      <c r="C33" s="154" t="s">
        <v>2</v>
      </c>
      <c r="D33" s="98" t="s">
        <v>6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  <c r="M33" s="111">
        <v>0</v>
      </c>
      <c r="N33" s="111">
        <v>0</v>
      </c>
      <c r="O33" s="111">
        <v>0</v>
      </c>
      <c r="P33" s="111">
        <v>0</v>
      </c>
      <c r="Q33" s="112">
        <f t="shared" si="0"/>
        <v>0</v>
      </c>
    </row>
    <row r="34" spans="1:18" x14ac:dyDescent="0.15">
      <c r="A34" s="285" t="s">
        <v>24</v>
      </c>
      <c r="B34" s="286" t="s">
        <v>3</v>
      </c>
      <c r="C34" s="155">
        <v>0.05</v>
      </c>
      <c r="D34" s="98" t="s">
        <v>0</v>
      </c>
      <c r="E34" s="111">
        <f>ROYALTY_CAMPO!D45*0.3</f>
        <v>571439.37383829011</v>
      </c>
      <c r="F34" s="111">
        <f>ROYALTY_CAMPO!F45*0.3</f>
        <v>607774.52218523982</v>
      </c>
      <c r="G34" s="111">
        <f>ROYALTY_CAMPO!H45*0.3</f>
        <v>630614.99061978492</v>
      </c>
      <c r="H34" s="111">
        <f>ROYALTY_CAMPO!J45*0.3</f>
        <v>539499.27907677577</v>
      </c>
      <c r="I34" s="111">
        <f>ROYALTY_CAMPO!L45*0.3</f>
        <v>627486.81711783842</v>
      </c>
      <c r="J34" s="111">
        <f>ROYALTY_CAMPO!N45*0.3</f>
        <v>668075.49973340763</v>
      </c>
      <c r="K34" s="111">
        <f>ROYALTY_CAMPO!P45*0.3</f>
        <v>793265.57400000002</v>
      </c>
      <c r="L34" s="111">
        <f>ROYALTY_CAMPO!R45*0.3</f>
        <v>758812.45199999993</v>
      </c>
      <c r="M34" s="111">
        <f>ROYALTY_CAMPO!T45*0.3</f>
        <v>685180.5780000001</v>
      </c>
      <c r="N34" s="111">
        <f>ROYALTY_CAMPO!V45*0.3</f>
        <v>636259.53</v>
      </c>
      <c r="O34" s="111">
        <f>ROYALTY_CAMPO!X45*0.3</f>
        <v>715369.554</v>
      </c>
      <c r="P34" s="111">
        <f>ROYALTY_CAMPO!Z45*0.3</f>
        <v>720359.11800000002</v>
      </c>
      <c r="Q34" s="112">
        <f t="shared" si="0"/>
        <v>7954137.2885713363</v>
      </c>
    </row>
    <row r="35" spans="1:18" x14ac:dyDescent="0.15">
      <c r="A35" s="285"/>
      <c r="B35" s="286"/>
      <c r="C35" s="154" t="s">
        <v>2</v>
      </c>
      <c r="D35" s="98" t="s">
        <v>0</v>
      </c>
      <c r="E35" s="111">
        <f>ROYALTY_CAMPO!E45*0.225</f>
        <v>401545.00574204396</v>
      </c>
      <c r="F35" s="111">
        <f>ROYALTY_CAMPO!G45*0.225</f>
        <v>427710.6638370615</v>
      </c>
      <c r="G35" s="111">
        <f>ROYALTY_CAMPO!I45*0.225</f>
        <v>444393.55351347779</v>
      </c>
      <c r="H35" s="111">
        <f>ROYALTY_CAMPO!K45*0.225</f>
        <v>380947.01993002644</v>
      </c>
      <c r="I35" s="111">
        <f>ROYALTY_CAMPO!M45*0.225</f>
        <v>444146.59302920609</v>
      </c>
      <c r="J35" s="111">
        <f>ROYALTY_CAMPO!O45*0.225</f>
        <v>474930.30940225872</v>
      </c>
      <c r="K35" s="111">
        <f>ROYALTY_CAMPO!Q45*0.225</f>
        <v>563248.75274999999</v>
      </c>
      <c r="L35" s="111">
        <f>ROYALTY_CAMPO!S45*0.225</f>
        <v>541729.30949999997</v>
      </c>
      <c r="M35" s="111">
        <f>ROYALTY_CAMPO!U45*0.225</f>
        <v>486894.64050000004</v>
      </c>
      <c r="N35" s="111">
        <f>ROYALTY_CAMPO!W45*0.225</f>
        <v>450555.19200000004</v>
      </c>
      <c r="O35" s="111">
        <f>ROYALTY_CAMPO!Y45*0.225</f>
        <v>507874.87124999997</v>
      </c>
      <c r="P35" s="111">
        <f>ROYALTY_CAMPO!AA45*0.225</f>
        <v>511825.56075</v>
      </c>
      <c r="Q35" s="112">
        <f t="shared" si="0"/>
        <v>5635801.4722040743</v>
      </c>
    </row>
    <row r="36" spans="1:18" x14ac:dyDescent="0.15">
      <c r="A36" s="285"/>
      <c r="B36" s="286" t="s">
        <v>5</v>
      </c>
      <c r="C36" s="155">
        <v>0.05</v>
      </c>
      <c r="D36" s="98" t="s">
        <v>6</v>
      </c>
      <c r="E36" s="111">
        <f>VAL_ESTADOS!B11-ROYALTY_CAMPO!D45*0.3</f>
        <v>7249740.9161617104</v>
      </c>
      <c r="F36" s="111">
        <f>VAL_ESTADOS!D11-ROYALTY_CAMPO!F45*0.3</f>
        <v>7600023.2178147603</v>
      </c>
      <c r="G36" s="111">
        <f>VAL_ESTADOS!F11-ROYALTY_CAMPO!H45*0.3</f>
        <v>8104410.3993802154</v>
      </c>
      <c r="H36" s="111">
        <f>VAL_ESTADOS!H11-ROYALTY_CAMPO!J45*0.3</f>
        <v>6883001.0009232238</v>
      </c>
      <c r="I36" s="111">
        <f>VAL_ESTADOS!J11-ROYALTY_CAMPO!L45*0.3</f>
        <v>7608116.6228821622</v>
      </c>
      <c r="J36" s="111">
        <f>VAL_ESTADOS!L11-ROYALTY_CAMPO!N45*0.3</f>
        <v>8187002.3002665909</v>
      </c>
      <c r="K36" s="111">
        <f>VAL_ESTADOS!N11-ROYALTY_CAMPO!P45*0.3</f>
        <v>9643860.6460000016</v>
      </c>
      <c r="L36" s="111">
        <f>VAL_ESTADOS!P11-ROYALTY_CAMPO!R45*0.3</f>
        <v>9539097.7180000003</v>
      </c>
      <c r="M36" s="111">
        <f>VAL_ESTADOS!R11-ROYALTY_CAMPO!T45*0.3</f>
        <v>10141564.512</v>
      </c>
      <c r="N36" s="111">
        <f>VAL_ESTADOS!T11-ROYALTY_CAMPO!V45*0.3</f>
        <v>9304114.0500000007</v>
      </c>
      <c r="O36" s="111">
        <f>VAL_ESTADOS!V11-ROYALTY_CAMPO!X45*0.3</f>
        <v>10803920.156000001</v>
      </c>
      <c r="P36" s="111">
        <f>VAL_ESTADOS!X11-ROYALTY_CAMPO!Z45*0.3</f>
        <v>10832932.171999998</v>
      </c>
      <c r="Q36" s="112">
        <f t="shared" si="0"/>
        <v>105897783.71142867</v>
      </c>
    </row>
    <row r="37" spans="1:18" x14ac:dyDescent="0.15">
      <c r="A37" s="285"/>
      <c r="B37" s="286"/>
      <c r="C37" s="154" t="s">
        <v>2</v>
      </c>
      <c r="D37" s="98" t="s">
        <v>6</v>
      </c>
      <c r="E37" s="111">
        <f>VAL_ESTADOS!C11-ROYALTY_CAMPO!E45*0.225</f>
        <v>4603089.0642579561</v>
      </c>
      <c r="F37" s="111">
        <f>VAL_ESTADOS!E11-ROYALTY_CAMPO!G45*0.225</f>
        <v>4831133.1261629388</v>
      </c>
      <c r="G37" s="111">
        <f>VAL_ESTADOS!G11-ROYALTY_CAMPO!I45*0.225</f>
        <v>5130849.1364865219</v>
      </c>
      <c r="H37" s="111">
        <f>VAL_ESTADOS!I11-ROYALTY_CAMPO!K45*0.225</f>
        <v>4347906.3100699736</v>
      </c>
      <c r="I37" s="111">
        <f>VAL_ESTADOS!K11-ROYALTY_CAMPO!M45*0.225</f>
        <v>4797506.6169707943</v>
      </c>
      <c r="J37" s="111">
        <f>VAL_ESTADOS!M11-ROYALTY_CAMPO!O45*0.225</f>
        <v>5155020.1405977411</v>
      </c>
      <c r="K37" s="111">
        <f>VAL_ESTADOS!O11-ROYALTY_CAMPO!Q45*0.225</f>
        <v>6067275.7672499996</v>
      </c>
      <c r="L37" s="111">
        <f>VAL_ESTADOS!Q11-ROYALTY_CAMPO!S45*0.225</f>
        <v>5964797.5704999994</v>
      </c>
      <c r="M37" s="111">
        <f>VAL_ESTADOS!S11-ROYALTY_CAMPO!U45*0.225</f>
        <v>6328882.9994999999</v>
      </c>
      <c r="N37" s="111">
        <f>VAL_ESTADOS!U11-ROYALTY_CAMPO!W45*0.225</f>
        <v>5879648.938000001</v>
      </c>
      <c r="O37" s="111">
        <f>VAL_ESTADOS!W11-ROYALTY_CAMPO!Y45*0.225</f>
        <v>6811205.4187500002</v>
      </c>
      <c r="P37" s="111">
        <f>VAL_ESTADOS!Y11-ROYALTY_CAMPO!AA45*0.225</f>
        <v>6808056.38925</v>
      </c>
      <c r="Q37" s="112">
        <f t="shared" si="0"/>
        <v>66725371.477795936</v>
      </c>
    </row>
    <row r="38" spans="1:18" x14ac:dyDescent="0.15">
      <c r="A38" s="285" t="s">
        <v>25</v>
      </c>
      <c r="B38" s="286" t="s">
        <v>3</v>
      </c>
      <c r="C38" s="155">
        <v>0.05</v>
      </c>
      <c r="D38" s="98" t="s">
        <v>0</v>
      </c>
      <c r="E38" s="111">
        <f>ROYALTY_CAMPO!D54*0.3</f>
        <v>709671.36302744609</v>
      </c>
      <c r="F38" s="111">
        <f>ROYALTY_CAMPO!F54*0.3</f>
        <v>753308.57765063748</v>
      </c>
      <c r="G38" s="111">
        <f>ROYALTY_CAMPO!H54*0.3</f>
        <v>783048.54471747053</v>
      </c>
      <c r="H38" s="111">
        <f>ROYALTY_CAMPO!J54*0.3</f>
        <v>632452.01917488209</v>
      </c>
      <c r="I38" s="111">
        <f>ROYALTY_CAMPO!L54*0.3</f>
        <v>660230.14528152358</v>
      </c>
      <c r="J38" s="111">
        <f>ROYALTY_CAMPO!N54*0.3</f>
        <v>593621.42459138518</v>
      </c>
      <c r="K38" s="111">
        <f>ROYALTY_CAMPO!P54*0.3</f>
        <v>860591.00699999998</v>
      </c>
      <c r="L38" s="111">
        <f>ROYALTY_CAMPO!R54*0.3</f>
        <v>827824.43099999998</v>
      </c>
      <c r="M38" s="111">
        <f>ROYALTY_CAMPO!T54*0.3</f>
        <v>862366.41600000008</v>
      </c>
      <c r="N38" s="111">
        <f>ROYALTY_CAMPO!V54*0.3</f>
        <v>879135.24300000002</v>
      </c>
      <c r="O38" s="111">
        <f>ROYALTY_CAMPO!X54*0.3</f>
        <v>944318.30699999991</v>
      </c>
      <c r="P38" s="111">
        <f>ROYALTY_CAMPO!Z54*0.3</f>
        <v>920160.66600000008</v>
      </c>
      <c r="Q38" s="112">
        <f t="shared" si="0"/>
        <v>9426728.1444433443</v>
      </c>
    </row>
    <row r="39" spans="1:18" x14ac:dyDescent="0.15">
      <c r="A39" s="285"/>
      <c r="B39" s="286"/>
      <c r="C39" s="154" t="s">
        <v>2</v>
      </c>
      <c r="D39" s="98" t="s">
        <v>0</v>
      </c>
      <c r="E39" s="111">
        <f>ROYALTY_CAMPO!E54*0.225</f>
        <v>500410.92476824729</v>
      </c>
      <c r="F39" s="111">
        <f>ROYALTY_CAMPO!G54*0.225</f>
        <v>528772.03696569032</v>
      </c>
      <c r="G39" s="111">
        <f>ROYALTY_CAMPO!I54*0.225</f>
        <v>549865.61572708818</v>
      </c>
      <c r="H39" s="111">
        <f>ROYALTY_CAMPO!K54*0.225</f>
        <v>444940.48327840824</v>
      </c>
      <c r="I39" s="111">
        <f>ROYALTY_CAMPO!M54*0.225</f>
        <v>461839.06950376765</v>
      </c>
      <c r="J39" s="111">
        <f>ROYALTY_CAMPO!O54*0.225</f>
        <v>413037.28284926125</v>
      </c>
      <c r="K39" s="111">
        <f>ROYALTY_CAMPO!Q54*0.225</f>
        <v>608309.9752499999</v>
      </c>
      <c r="L39" s="111">
        <f>ROYALTY_CAMPO!S54*0.225</f>
        <v>581755.85549999995</v>
      </c>
      <c r="M39" s="111">
        <f>ROYALTY_CAMPO!U54*0.225</f>
        <v>606866.62950000004</v>
      </c>
      <c r="N39" s="111">
        <f>ROYALTY_CAMPO!W54*0.225</f>
        <v>617170.16024999996</v>
      </c>
      <c r="O39" s="111">
        <f>ROYALTY_CAMPO!Y54*0.225</f>
        <v>663015.96900000004</v>
      </c>
      <c r="P39" s="111">
        <f>ROYALTY_CAMPO!AA54*0.225</f>
        <v>641880.43200000003</v>
      </c>
      <c r="Q39" s="112">
        <f t="shared" si="0"/>
        <v>6617864.4345924631</v>
      </c>
    </row>
    <row r="40" spans="1:18" x14ac:dyDescent="0.15">
      <c r="A40" s="285"/>
      <c r="B40" s="286" t="s">
        <v>5</v>
      </c>
      <c r="C40" s="155">
        <v>0.05</v>
      </c>
      <c r="D40" s="98" t="s">
        <v>6</v>
      </c>
      <c r="E40" s="208">
        <f>VAL_ESTADOS!B13-ROYALTY_CAMPO!D54*0.3</f>
        <v>3174814.5669725537</v>
      </c>
      <c r="F40" s="208">
        <f>VAL_ESTADOS!D13-ROYALTY_CAMPO!F54*0.3</f>
        <v>3331457.7323493627</v>
      </c>
      <c r="G40" s="208">
        <f>VAL_ESTADOS!F13-ROYALTY_CAMPO!H54*0.3</f>
        <v>3553229.2352825296</v>
      </c>
      <c r="H40" s="208">
        <f>VAL_ESTADOS!H13-ROYALTY_CAMPO!J54*0.3</f>
        <v>2886377.6308251177</v>
      </c>
      <c r="I40" s="208">
        <f>VAL_ESTADOS!J13-ROYALTY_CAMPO!L54*0.3</f>
        <v>2956775.6647184766</v>
      </c>
      <c r="J40" s="208">
        <f>VAL_ESTADOS!L13-ROYALTY_CAMPO!N54*0.3</f>
        <v>3008554.3754086145</v>
      </c>
      <c r="K40" s="208">
        <f>VAL_ESTADOS!N13-ROYALTY_CAMPO!P54*0.3</f>
        <v>3494213.3429999994</v>
      </c>
      <c r="L40" s="208">
        <f>VAL_ESTADOS!P13-ROYALTY_CAMPO!R54*0.3</f>
        <v>3464958.7790000001</v>
      </c>
      <c r="M40" s="208">
        <f>VAL_ESTADOS!R13-ROYALTY_CAMPO!T54*0.3</f>
        <v>3592613.0039999997</v>
      </c>
      <c r="N40" s="208">
        <f>VAL_ESTADOS!T13-ROYALTY_CAMPO!V54*0.3</f>
        <v>3443158.1770000001</v>
      </c>
      <c r="O40" s="208">
        <f>VAL_ESTADOS!V13-ROYALTY_CAMPO!X54*0.3</f>
        <v>3651439.0829999996</v>
      </c>
      <c r="P40" s="208">
        <f>VAL_ESTADOS!X13-ROYALTY_CAMPO!Z54*0.3</f>
        <v>3558288.3839999996</v>
      </c>
      <c r="Q40" s="112">
        <f t="shared" si="0"/>
        <v>40115879.975556657</v>
      </c>
    </row>
    <row r="41" spans="1:18" x14ac:dyDescent="0.15">
      <c r="A41" s="285"/>
      <c r="B41" s="286"/>
      <c r="C41" s="154" t="s">
        <v>2</v>
      </c>
      <c r="D41" s="98" t="s">
        <v>6</v>
      </c>
      <c r="E41" s="208">
        <f>VAL_ESTADOS!C13-ROYALTY_CAMPO!E54*0.225</f>
        <v>2244403.4052317529</v>
      </c>
      <c r="F41" s="208">
        <f>VAL_ESTADOS!E13-ROYALTY_CAMPO!G54*0.225</f>
        <v>2357195.0430343095</v>
      </c>
      <c r="G41" s="208">
        <f>VAL_ESTADOS!G13-ROYALTY_CAMPO!I54*0.225</f>
        <v>2519039.5142729115</v>
      </c>
      <c r="H41" s="208">
        <f>VAL_ESTADOS!I13-ROYALTY_CAMPO!K54*0.225</f>
        <v>2051093.2467215918</v>
      </c>
      <c r="I41" s="208">
        <f>VAL_ESTADOS!K13-ROYALTY_CAMPO!M54*0.225</f>
        <v>2099945.6404962325</v>
      </c>
      <c r="J41" s="208">
        <f>VAL_ESTADOS!M13-ROYALTY_CAMPO!O54*0.225</f>
        <v>2129546.9771507387</v>
      </c>
      <c r="K41" s="208">
        <f>VAL_ESTADOS!O13-ROYALTY_CAMPO!Q54*0.225</f>
        <v>2460949.9747500001</v>
      </c>
      <c r="L41" s="208">
        <f>VAL_ESTADOS!Q13-ROYALTY_CAMPO!S54*0.225</f>
        <v>2434403.1545000002</v>
      </c>
      <c r="M41" s="208">
        <f>VAL_ESTADOS!S13-ROYALTY_CAMPO!U54*0.225</f>
        <v>2530597.0904999999</v>
      </c>
      <c r="N41" s="208">
        <f>VAL_ESTADOS!U13-ROYALTY_CAMPO!W54*0.225</f>
        <v>2419814.5697499998</v>
      </c>
      <c r="O41" s="208">
        <f>VAL_ESTADOS!W13-ROYALTY_CAMPO!Y54*0.225</f>
        <v>2562520.8709999998</v>
      </c>
      <c r="P41" s="208">
        <f>VAL_ESTADOS!Y13-ROYALTY_CAMPO!AA54*0.225</f>
        <v>2490953.4279999998</v>
      </c>
      <c r="Q41" s="112">
        <f t="shared" si="0"/>
        <v>28300462.915407538</v>
      </c>
    </row>
    <row r="42" spans="1:18" x14ac:dyDescent="0.15">
      <c r="A42" s="285" t="s">
        <v>22</v>
      </c>
      <c r="B42" s="286" t="s">
        <v>3</v>
      </c>
      <c r="C42" s="155">
        <v>0.05</v>
      </c>
      <c r="D42" s="98" t="s">
        <v>0</v>
      </c>
      <c r="E42" s="111">
        <f>VAL_ESTADOS!B12</f>
        <v>26400326.460000001</v>
      </c>
      <c r="F42" s="111">
        <f>VAL_ESTADOS!D12</f>
        <v>33829461.299999997</v>
      </c>
      <c r="G42" s="111">
        <f>VAL_ESTADOS!F12</f>
        <v>35198418.239999995</v>
      </c>
      <c r="H42" s="111">
        <f>VAL_ESTADOS!H12</f>
        <v>30131100.710000001</v>
      </c>
      <c r="I42" s="111">
        <f>VAL_ESTADOS!J12</f>
        <v>32017753.670000002</v>
      </c>
      <c r="J42" s="111">
        <f>VAL_ESTADOS!L12</f>
        <v>29910023.109999996</v>
      </c>
      <c r="K42" s="111">
        <f>VAL_ESTADOS!N12</f>
        <v>40880248.109999999</v>
      </c>
      <c r="L42" s="111">
        <f>VAL_ESTADOS!P12</f>
        <v>40152445.280000001</v>
      </c>
      <c r="M42" s="111">
        <f>VAL_ESTADOS!R12</f>
        <v>41559879.020000003</v>
      </c>
      <c r="N42" s="111">
        <f>VAL_ESTADOS!T12</f>
        <v>40265516.149999999</v>
      </c>
      <c r="O42" s="111">
        <f>VAL_ESTADOS!V12</f>
        <v>45855544.019999996</v>
      </c>
      <c r="P42" s="111">
        <f>VAL_ESTADOS!X12</f>
        <v>46434061.950000003</v>
      </c>
      <c r="Q42" s="112">
        <f t="shared" si="0"/>
        <v>442634778.01999992</v>
      </c>
      <c r="R42" s="113"/>
    </row>
    <row r="43" spans="1:18" x14ac:dyDescent="0.15">
      <c r="A43" s="285"/>
      <c r="B43" s="286"/>
      <c r="C43" s="154" t="s">
        <v>2</v>
      </c>
      <c r="D43" s="98" t="s">
        <v>0</v>
      </c>
      <c r="E43" s="111">
        <f>VAL_ESTADOS!C12</f>
        <v>19308075.57</v>
      </c>
      <c r="F43" s="111">
        <f>VAL_ESTADOS!E12</f>
        <v>24879639.240000002</v>
      </c>
      <c r="G43" s="111">
        <f>VAL_ESTADOS!G12</f>
        <v>25823919.969999999</v>
      </c>
      <c r="H43" s="111">
        <f>VAL_ESTADOS!I12</f>
        <v>22181931.079999998</v>
      </c>
      <c r="I43" s="111">
        <f>VAL_ESTADOS!K12</f>
        <v>23581160.48</v>
      </c>
      <c r="J43" s="111">
        <f>VAL_ESTADOS!M12</f>
        <v>21960006.039999999</v>
      </c>
      <c r="K43" s="111">
        <f>VAL_ESTADOS!O12</f>
        <v>30211021.68</v>
      </c>
      <c r="L43" s="111">
        <f>VAL_ESTADOS!Q12</f>
        <v>29661738.75</v>
      </c>
      <c r="M43" s="111">
        <f>VAL_ESTADOS!S12</f>
        <v>30783323.470000003</v>
      </c>
      <c r="N43" s="111">
        <f>VAL_ESTADOS!U12</f>
        <v>30082712.449999999</v>
      </c>
      <c r="O43" s="111">
        <f>VAL_ESTADOS!W12</f>
        <v>34006260.130000003</v>
      </c>
      <c r="P43" s="111">
        <f>VAL_ESTADOS!Y12</f>
        <v>34287693.399999999</v>
      </c>
      <c r="Q43" s="112">
        <f t="shared" si="0"/>
        <v>326767482.25999999</v>
      </c>
      <c r="R43" s="113"/>
    </row>
    <row r="44" spans="1:18" x14ac:dyDescent="0.15">
      <c r="A44" s="285"/>
      <c r="B44" s="286" t="s">
        <v>5</v>
      </c>
      <c r="C44" s="155">
        <v>0.05</v>
      </c>
      <c r="D44" s="98" t="s">
        <v>6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11">
        <v>0</v>
      </c>
      <c r="O44" s="111">
        <v>0</v>
      </c>
      <c r="P44" s="111">
        <v>0</v>
      </c>
      <c r="Q44" s="112">
        <f t="shared" si="0"/>
        <v>0</v>
      </c>
    </row>
    <row r="45" spans="1:18" x14ac:dyDescent="0.15">
      <c r="A45" s="285"/>
      <c r="B45" s="286"/>
      <c r="C45" s="154" t="s">
        <v>2</v>
      </c>
      <c r="D45" s="98" t="s">
        <v>6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2">
        <f t="shared" si="0"/>
        <v>0</v>
      </c>
    </row>
    <row r="46" spans="1:18" x14ac:dyDescent="0.15">
      <c r="A46" s="301" t="s">
        <v>28</v>
      </c>
      <c r="B46" s="302"/>
      <c r="C46" s="302"/>
      <c r="D46" s="303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112">
        <f>SUM(Q2:Q45)</f>
        <v>6595311128.7466478</v>
      </c>
    </row>
    <row r="50" spans="1:10" x14ac:dyDescent="0.15">
      <c r="A50" s="169" t="s">
        <v>76</v>
      </c>
      <c r="B50" s="169" t="s">
        <v>206</v>
      </c>
      <c r="C50" s="169" t="s">
        <v>128</v>
      </c>
      <c r="D50" s="169" t="s">
        <v>207</v>
      </c>
      <c r="E50" s="209" t="s">
        <v>28</v>
      </c>
      <c r="F50" s="169" t="s">
        <v>76</v>
      </c>
      <c r="G50" s="169" t="s">
        <v>206</v>
      </c>
      <c r="H50" s="169" t="s">
        <v>128</v>
      </c>
      <c r="I50" s="169" t="s">
        <v>207</v>
      </c>
      <c r="J50" s="209" t="s">
        <v>28</v>
      </c>
    </row>
    <row r="51" spans="1:10" x14ac:dyDescent="0.15">
      <c r="A51" s="292" t="s">
        <v>4</v>
      </c>
      <c r="B51" s="286" t="s">
        <v>3</v>
      </c>
      <c r="C51" s="155">
        <v>0.05</v>
      </c>
      <c r="D51" s="90" t="s">
        <v>208</v>
      </c>
      <c r="E51" s="82">
        <v>800791.7104285328</v>
      </c>
      <c r="F51" s="285" t="s">
        <v>18</v>
      </c>
      <c r="G51" s="286" t="s">
        <v>3</v>
      </c>
      <c r="H51" s="155">
        <v>0.05</v>
      </c>
      <c r="I51" s="98" t="s">
        <v>0</v>
      </c>
      <c r="J51" s="82">
        <v>7497148.2199999997</v>
      </c>
    </row>
    <row r="52" spans="1:10" x14ac:dyDescent="0.15">
      <c r="A52" s="293"/>
      <c r="B52" s="286"/>
      <c r="C52" s="154" t="s">
        <v>2</v>
      </c>
      <c r="D52" s="90" t="s">
        <v>208</v>
      </c>
      <c r="E52" s="82">
        <v>516510.6529114038</v>
      </c>
      <c r="F52" s="285"/>
      <c r="G52" s="286"/>
      <c r="H52" s="154" t="s">
        <v>2</v>
      </c>
      <c r="I52" s="98" t="s">
        <v>0</v>
      </c>
      <c r="J52" s="82">
        <v>0</v>
      </c>
    </row>
    <row r="53" spans="1:10" x14ac:dyDescent="0.15">
      <c r="A53" s="293"/>
      <c r="B53" s="286" t="s">
        <v>5</v>
      </c>
      <c r="C53" s="155">
        <v>0.05</v>
      </c>
      <c r="D53" s="90" t="s">
        <v>209</v>
      </c>
      <c r="E53" s="82">
        <v>14241274.559571467</v>
      </c>
      <c r="F53" s="285"/>
      <c r="G53" s="286" t="s">
        <v>5</v>
      </c>
      <c r="H53" s="155">
        <v>0.05</v>
      </c>
      <c r="I53" s="98" t="s">
        <v>6</v>
      </c>
      <c r="J53" s="82">
        <v>0</v>
      </c>
    </row>
    <row r="54" spans="1:10" x14ac:dyDescent="0.15">
      <c r="A54" s="293"/>
      <c r="B54" s="288"/>
      <c r="C54" s="210" t="s">
        <v>2</v>
      </c>
      <c r="D54" s="211" t="s">
        <v>209</v>
      </c>
      <c r="E54" s="82">
        <v>9153388.1270885952</v>
      </c>
      <c r="F54" s="285"/>
      <c r="G54" s="286"/>
      <c r="H54" s="154" t="s">
        <v>2</v>
      </c>
      <c r="I54" s="98" t="s">
        <v>6</v>
      </c>
      <c r="J54" s="82">
        <v>0</v>
      </c>
    </row>
    <row r="55" spans="1:10" x14ac:dyDescent="0.15">
      <c r="A55" s="294"/>
      <c r="B55" s="291" t="s">
        <v>28</v>
      </c>
      <c r="C55" s="291"/>
      <c r="D55" s="291"/>
      <c r="E55" s="212">
        <f>SUM(E51:E54)</f>
        <v>24711965.049999997</v>
      </c>
      <c r="F55" s="285"/>
      <c r="G55" s="291" t="s">
        <v>28</v>
      </c>
      <c r="H55" s="291"/>
      <c r="I55" s="291"/>
      <c r="J55" s="212">
        <f>SUM(J51:J54)</f>
        <v>7497148.2199999997</v>
      </c>
    </row>
    <row r="56" spans="1:10" x14ac:dyDescent="0.15">
      <c r="A56" s="295" t="s">
        <v>8</v>
      </c>
      <c r="B56" s="289" t="s">
        <v>3</v>
      </c>
      <c r="C56" s="156">
        <v>0.05</v>
      </c>
      <c r="D56" s="213" t="s">
        <v>208</v>
      </c>
      <c r="E56" s="82">
        <v>0</v>
      </c>
      <c r="F56" s="285" t="s">
        <v>19</v>
      </c>
      <c r="G56" s="286" t="s">
        <v>3</v>
      </c>
      <c r="H56" s="155">
        <v>0.05</v>
      </c>
      <c r="I56" s="90" t="s">
        <v>0</v>
      </c>
      <c r="J56" s="82">
        <v>2403883423.844595</v>
      </c>
    </row>
    <row r="57" spans="1:10" x14ac:dyDescent="0.15">
      <c r="A57" s="296"/>
      <c r="B57" s="286"/>
      <c r="C57" s="154" t="s">
        <v>2</v>
      </c>
      <c r="D57" s="90" t="s">
        <v>208</v>
      </c>
      <c r="E57" s="82">
        <v>0</v>
      </c>
      <c r="F57" s="285"/>
      <c r="G57" s="286"/>
      <c r="H57" s="154" t="s">
        <v>2</v>
      </c>
      <c r="I57" s="90" t="s">
        <v>0</v>
      </c>
      <c r="J57" s="82">
        <v>1792940810.482054</v>
      </c>
    </row>
    <row r="58" spans="1:10" x14ac:dyDescent="0.15">
      <c r="A58" s="296"/>
      <c r="B58" s="286" t="s">
        <v>5</v>
      </c>
      <c r="C58" s="155">
        <v>0.05</v>
      </c>
      <c r="D58" s="90" t="s">
        <v>209</v>
      </c>
      <c r="E58" s="82">
        <v>129431137.67999999</v>
      </c>
      <c r="F58" s="285"/>
      <c r="G58" s="286" t="s">
        <v>5</v>
      </c>
      <c r="H58" s="155">
        <v>0.05</v>
      </c>
      <c r="I58" s="90" t="s">
        <v>6</v>
      </c>
      <c r="J58" s="82">
        <v>0</v>
      </c>
    </row>
    <row r="59" spans="1:10" x14ac:dyDescent="0.15">
      <c r="A59" s="296"/>
      <c r="B59" s="286"/>
      <c r="C59" s="154" t="s">
        <v>2</v>
      </c>
      <c r="D59" s="90" t="s">
        <v>209</v>
      </c>
      <c r="E59" s="82">
        <v>92053819.150000006</v>
      </c>
      <c r="F59" s="285"/>
      <c r="G59" s="286"/>
      <c r="H59" s="154" t="s">
        <v>2</v>
      </c>
      <c r="I59" s="90" t="s">
        <v>6</v>
      </c>
      <c r="J59" s="82">
        <v>0</v>
      </c>
    </row>
    <row r="60" spans="1:10" x14ac:dyDescent="0.15">
      <c r="A60" s="297"/>
      <c r="B60" s="298" t="s">
        <v>28</v>
      </c>
      <c r="C60" s="299"/>
      <c r="D60" s="300"/>
      <c r="E60" s="212">
        <f>SUM(E56:E59)</f>
        <v>221484956.82999998</v>
      </c>
      <c r="F60" s="285"/>
      <c r="G60" s="291" t="s">
        <v>28</v>
      </c>
      <c r="H60" s="291"/>
      <c r="I60" s="291"/>
      <c r="J60" s="212">
        <f>SUM(J56:J59)</f>
        <v>4196824234.3266487</v>
      </c>
    </row>
    <row r="61" spans="1:10" x14ac:dyDescent="0.15">
      <c r="A61" s="295" t="s">
        <v>10</v>
      </c>
      <c r="B61" s="286" t="s">
        <v>3</v>
      </c>
      <c r="C61" s="155">
        <v>0.05</v>
      </c>
      <c r="D61" s="90" t="s">
        <v>208</v>
      </c>
      <c r="E61" s="82">
        <v>16396414.33455136</v>
      </c>
      <c r="F61" s="285" t="s">
        <v>24</v>
      </c>
      <c r="G61" s="286" t="s">
        <v>3</v>
      </c>
      <c r="H61" s="155">
        <v>0.05</v>
      </c>
      <c r="I61" s="98" t="s">
        <v>0</v>
      </c>
      <c r="J61" s="82">
        <v>7954137.2885713363</v>
      </c>
    </row>
    <row r="62" spans="1:10" x14ac:dyDescent="0.15">
      <c r="A62" s="296"/>
      <c r="B62" s="286"/>
      <c r="C62" s="154" t="s">
        <v>2</v>
      </c>
      <c r="D62" s="90" t="s">
        <v>208</v>
      </c>
      <c r="E62" s="82">
        <v>6212846.7821432147</v>
      </c>
      <c r="F62" s="285"/>
      <c r="G62" s="286"/>
      <c r="H62" s="154" t="s">
        <v>2</v>
      </c>
      <c r="I62" s="98" t="s">
        <v>0</v>
      </c>
      <c r="J62" s="82">
        <v>5635801.4722040743</v>
      </c>
    </row>
    <row r="63" spans="1:10" x14ac:dyDescent="0.15">
      <c r="A63" s="296"/>
      <c r="B63" s="286" t="s">
        <v>5</v>
      </c>
      <c r="C63" s="155">
        <v>0.05</v>
      </c>
      <c r="D63" s="90" t="s">
        <v>209</v>
      </c>
      <c r="E63" s="82">
        <v>104377181.43544863</v>
      </c>
      <c r="F63" s="285"/>
      <c r="G63" s="286" t="s">
        <v>5</v>
      </c>
      <c r="H63" s="155">
        <v>0.05</v>
      </c>
      <c r="I63" s="98" t="s">
        <v>6</v>
      </c>
      <c r="J63" s="82">
        <v>105897783.71142867</v>
      </c>
    </row>
    <row r="64" spans="1:10" x14ac:dyDescent="0.15">
      <c r="A64" s="296"/>
      <c r="B64" s="286"/>
      <c r="C64" s="154" t="s">
        <v>2</v>
      </c>
      <c r="D64" s="90" t="s">
        <v>209</v>
      </c>
      <c r="E64" s="82">
        <v>66714554.02785679</v>
      </c>
      <c r="F64" s="285"/>
      <c r="G64" s="286"/>
      <c r="H64" s="154" t="s">
        <v>2</v>
      </c>
      <c r="I64" s="98" t="s">
        <v>6</v>
      </c>
      <c r="J64" s="82">
        <v>66725371.477795936</v>
      </c>
    </row>
    <row r="65" spans="1:10" x14ac:dyDescent="0.15">
      <c r="A65" s="297"/>
      <c r="B65" s="298" t="s">
        <v>28</v>
      </c>
      <c r="C65" s="299"/>
      <c r="D65" s="300"/>
      <c r="E65" s="212">
        <f>SUM(E61:E64)</f>
        <v>193700996.58000001</v>
      </c>
      <c r="F65" s="285"/>
      <c r="G65" s="291" t="s">
        <v>28</v>
      </c>
      <c r="H65" s="291"/>
      <c r="I65" s="291"/>
      <c r="J65" s="212">
        <f>SUM(J61:J64)</f>
        <v>186213093.95000002</v>
      </c>
    </row>
    <row r="66" spans="1:10" x14ac:dyDescent="0.15">
      <c r="A66" s="295" t="s">
        <v>11</v>
      </c>
      <c r="B66" s="286" t="s">
        <v>3</v>
      </c>
      <c r="C66" s="155">
        <v>0.05</v>
      </c>
      <c r="D66" s="90" t="s">
        <v>208</v>
      </c>
      <c r="E66" s="82">
        <v>5946844.5272778412</v>
      </c>
      <c r="F66" s="285" t="s">
        <v>25</v>
      </c>
      <c r="G66" s="286" t="s">
        <v>3</v>
      </c>
      <c r="H66" s="155">
        <v>0.05</v>
      </c>
      <c r="I66" s="90" t="s">
        <v>0</v>
      </c>
      <c r="J66" s="82">
        <v>9426728.1444433443</v>
      </c>
    </row>
    <row r="67" spans="1:10" x14ac:dyDescent="0.15">
      <c r="A67" s="296"/>
      <c r="B67" s="286"/>
      <c r="C67" s="154" t="s">
        <v>2</v>
      </c>
      <c r="D67" s="90" t="s">
        <v>208</v>
      </c>
      <c r="E67" s="82">
        <v>4460133.3954583816</v>
      </c>
      <c r="F67" s="285"/>
      <c r="G67" s="286"/>
      <c r="H67" s="154" t="s">
        <v>2</v>
      </c>
      <c r="I67" s="90" t="s">
        <v>0</v>
      </c>
      <c r="J67" s="82">
        <v>6617864.4345924631</v>
      </c>
    </row>
    <row r="68" spans="1:10" x14ac:dyDescent="0.15">
      <c r="A68" s="296"/>
      <c r="B68" s="286" t="s">
        <v>5</v>
      </c>
      <c r="C68" s="155">
        <v>0.05</v>
      </c>
      <c r="D68" s="90" t="s">
        <v>209</v>
      </c>
      <c r="E68" s="82">
        <v>2820050.252722159</v>
      </c>
      <c r="F68" s="285"/>
      <c r="G68" s="286" t="s">
        <v>5</v>
      </c>
      <c r="H68" s="155">
        <v>0.05</v>
      </c>
      <c r="I68" s="90" t="s">
        <v>6</v>
      </c>
      <c r="J68" s="82">
        <v>40115879.975556657</v>
      </c>
    </row>
    <row r="69" spans="1:10" x14ac:dyDescent="0.15">
      <c r="A69" s="296"/>
      <c r="B69" s="286"/>
      <c r="C69" s="154" t="s">
        <v>2</v>
      </c>
      <c r="D69" s="90" t="s">
        <v>209</v>
      </c>
      <c r="E69" s="82">
        <v>1186506.7945416188</v>
      </c>
      <c r="F69" s="285"/>
      <c r="G69" s="286"/>
      <c r="H69" s="154" t="s">
        <v>2</v>
      </c>
      <c r="I69" s="90" t="s">
        <v>6</v>
      </c>
      <c r="J69" s="82">
        <v>28300462.915407538</v>
      </c>
    </row>
    <row r="70" spans="1:10" x14ac:dyDescent="0.15">
      <c r="A70" s="297"/>
      <c r="B70" s="298" t="s">
        <v>28</v>
      </c>
      <c r="C70" s="299"/>
      <c r="D70" s="300"/>
      <c r="E70" s="212">
        <f>SUM(E66:E69)</f>
        <v>14413534.970000003</v>
      </c>
      <c r="F70" s="285"/>
      <c r="G70" s="291" t="s">
        <v>28</v>
      </c>
      <c r="H70" s="291"/>
      <c r="I70" s="291"/>
      <c r="J70" s="214">
        <f>SUM(J66:J69)</f>
        <v>84460935.469999999</v>
      </c>
    </row>
    <row r="71" spans="1:10" x14ac:dyDescent="0.15">
      <c r="A71" s="295" t="s">
        <v>12</v>
      </c>
      <c r="B71" s="286" t="s">
        <v>3</v>
      </c>
      <c r="C71" s="155">
        <v>0.05</v>
      </c>
      <c r="D71" s="90" t="s">
        <v>208</v>
      </c>
      <c r="E71" s="82">
        <v>443736497.82416928</v>
      </c>
      <c r="F71" s="285" t="s">
        <v>22</v>
      </c>
      <c r="G71" s="286" t="s">
        <v>3</v>
      </c>
      <c r="H71" s="155">
        <v>0.05</v>
      </c>
      <c r="I71" s="98" t="s">
        <v>0</v>
      </c>
      <c r="J71" s="82">
        <v>442634778.01999992</v>
      </c>
    </row>
    <row r="72" spans="1:10" x14ac:dyDescent="0.15">
      <c r="A72" s="296"/>
      <c r="B72" s="286"/>
      <c r="C72" s="154" t="s">
        <v>2</v>
      </c>
      <c r="D72" s="90" t="s">
        <v>208</v>
      </c>
      <c r="E72" s="82">
        <v>358879417.56956971</v>
      </c>
      <c r="F72" s="285"/>
      <c r="G72" s="286"/>
      <c r="H72" s="154" t="s">
        <v>2</v>
      </c>
      <c r="I72" s="98" t="s">
        <v>0</v>
      </c>
      <c r="J72" s="82">
        <v>326767482.25999999</v>
      </c>
    </row>
    <row r="73" spans="1:10" x14ac:dyDescent="0.15">
      <c r="A73" s="296"/>
      <c r="B73" s="286" t="s">
        <v>5</v>
      </c>
      <c r="C73" s="155">
        <v>0.05</v>
      </c>
      <c r="D73" s="90" t="s">
        <v>209</v>
      </c>
      <c r="E73" s="82">
        <v>27689252.455830801</v>
      </c>
      <c r="F73" s="285"/>
      <c r="G73" s="286" t="s">
        <v>5</v>
      </c>
      <c r="H73" s="155">
        <v>0.05</v>
      </c>
      <c r="I73" s="98" t="s">
        <v>6</v>
      </c>
      <c r="J73" s="82">
        <v>0</v>
      </c>
    </row>
    <row r="74" spans="1:10" x14ac:dyDescent="0.15">
      <c r="A74" s="296"/>
      <c r="B74" s="286"/>
      <c r="C74" s="154" t="s">
        <v>2</v>
      </c>
      <c r="D74" s="90" t="s">
        <v>209</v>
      </c>
      <c r="E74" s="82">
        <v>16160306.700430296</v>
      </c>
      <c r="F74" s="285"/>
      <c r="G74" s="286"/>
      <c r="H74" s="154" t="s">
        <v>2</v>
      </c>
      <c r="I74" s="98" t="s">
        <v>6</v>
      </c>
      <c r="J74" s="82">
        <v>0</v>
      </c>
    </row>
    <row r="75" spans="1:10" x14ac:dyDescent="0.15">
      <c r="A75" s="297"/>
      <c r="B75" s="298" t="s">
        <v>28</v>
      </c>
      <c r="C75" s="299"/>
      <c r="D75" s="300"/>
      <c r="E75" s="212">
        <f>SUM(E71:E74)</f>
        <v>846465474.55000007</v>
      </c>
      <c r="F75" s="285"/>
      <c r="G75" s="291" t="s">
        <v>28</v>
      </c>
      <c r="H75" s="291"/>
      <c r="I75" s="291"/>
      <c r="J75" s="212">
        <f>SUM(J71:J74)</f>
        <v>769402260.27999997</v>
      </c>
    </row>
    <row r="76" spans="1:10" x14ac:dyDescent="0.15">
      <c r="A76" s="285" t="s">
        <v>13</v>
      </c>
      <c r="B76" s="286" t="s">
        <v>3</v>
      </c>
      <c r="C76" s="155">
        <v>0.05</v>
      </c>
      <c r="D76" s="98" t="s">
        <v>208</v>
      </c>
      <c r="E76" s="82">
        <v>0</v>
      </c>
      <c r="F76" s="304"/>
      <c r="G76" s="304"/>
      <c r="H76" s="304"/>
      <c r="I76" s="304"/>
      <c r="J76" s="304"/>
    </row>
    <row r="77" spans="1:10" x14ac:dyDescent="0.15">
      <c r="A77" s="285"/>
      <c r="B77" s="286"/>
      <c r="C77" s="154" t="s">
        <v>2</v>
      </c>
      <c r="D77" s="98" t="s">
        <v>208</v>
      </c>
      <c r="E77" s="82">
        <v>0</v>
      </c>
      <c r="F77" s="304"/>
      <c r="G77" s="304"/>
      <c r="H77" s="304"/>
      <c r="I77" s="304"/>
      <c r="J77" s="304"/>
    </row>
    <row r="78" spans="1:10" x14ac:dyDescent="0.15">
      <c r="A78" s="285"/>
      <c r="B78" s="286" t="s">
        <v>5</v>
      </c>
      <c r="C78" s="155">
        <v>0.05</v>
      </c>
      <c r="D78" s="98" t="s">
        <v>209</v>
      </c>
      <c r="E78" s="82">
        <v>28649444.879999995</v>
      </c>
      <c r="F78" s="304"/>
      <c r="G78" s="304"/>
      <c r="H78" s="304"/>
      <c r="I78" s="304"/>
      <c r="J78" s="304"/>
    </row>
    <row r="79" spans="1:10" x14ac:dyDescent="0.15">
      <c r="A79" s="285"/>
      <c r="B79" s="286"/>
      <c r="C79" s="154" t="s">
        <v>2</v>
      </c>
      <c r="D79" s="98" t="s">
        <v>209</v>
      </c>
      <c r="E79" s="82">
        <v>21487083.640000001</v>
      </c>
      <c r="F79" s="304"/>
      <c r="G79" s="304"/>
      <c r="H79" s="304"/>
      <c r="I79" s="304"/>
      <c r="J79" s="304"/>
    </row>
    <row r="80" spans="1:10" x14ac:dyDescent="0.15">
      <c r="A80" s="285"/>
      <c r="B80" s="290" t="s">
        <v>28</v>
      </c>
      <c r="C80" s="290"/>
      <c r="D80" s="290"/>
      <c r="E80" s="212">
        <f>SUM(E76:E79)</f>
        <v>50136528.519999996</v>
      </c>
      <c r="F80" s="304"/>
      <c r="G80" s="304"/>
      <c r="H80" s="304"/>
      <c r="I80" s="304"/>
      <c r="J80" s="304"/>
    </row>
    <row r="81" spans="1:6" x14ac:dyDescent="0.15">
      <c r="A81" s="124"/>
      <c r="B81" s="215"/>
      <c r="C81" s="216"/>
      <c r="D81" s="138"/>
      <c r="E81" s="115"/>
      <c r="F81" s="115"/>
    </row>
    <row r="82" spans="1:6" x14ac:dyDescent="0.15">
      <c r="A82" s="124"/>
      <c r="B82" s="215"/>
      <c r="C82" s="216"/>
      <c r="D82" s="138"/>
      <c r="E82" s="115"/>
      <c r="F82" s="115"/>
    </row>
    <row r="83" spans="1:6" x14ac:dyDescent="0.15">
      <c r="A83" s="124"/>
      <c r="B83" s="215"/>
      <c r="C83" s="216"/>
      <c r="D83" s="138"/>
      <c r="E83" s="115"/>
      <c r="F83" s="115"/>
    </row>
    <row r="84" spans="1:6" ht="12.75" x14ac:dyDescent="0.2">
      <c r="A84" s="27" t="s">
        <v>265</v>
      </c>
      <c r="B84" s="215"/>
      <c r="C84" s="216"/>
      <c r="D84" s="138"/>
      <c r="E84" s="115"/>
      <c r="F84" s="115"/>
    </row>
    <row r="85" spans="1:6" x14ac:dyDescent="0.15">
      <c r="A85" s="124"/>
      <c r="B85" s="215"/>
      <c r="C85" s="216"/>
      <c r="D85" s="138"/>
      <c r="E85" s="115"/>
      <c r="F85" s="115"/>
    </row>
    <row r="86" spans="1:6" x14ac:dyDescent="0.15">
      <c r="A86" s="124"/>
      <c r="B86" s="215"/>
      <c r="C86" s="216"/>
      <c r="D86" s="138"/>
      <c r="E86" s="115"/>
      <c r="F86" s="115"/>
    </row>
    <row r="87" spans="1:6" x14ac:dyDescent="0.15">
      <c r="A87" s="124"/>
      <c r="B87" s="215"/>
      <c r="C87" s="216"/>
      <c r="D87" s="138"/>
      <c r="E87" s="115"/>
      <c r="F87" s="115"/>
    </row>
    <row r="88" spans="1:6" x14ac:dyDescent="0.15">
      <c r="A88" s="124"/>
      <c r="B88" s="215"/>
      <c r="C88" s="216"/>
      <c r="D88" s="138"/>
      <c r="E88" s="115"/>
      <c r="F88" s="115"/>
    </row>
    <row r="89" spans="1:6" x14ac:dyDescent="0.15">
      <c r="A89" s="124"/>
      <c r="B89" s="215"/>
      <c r="C89" s="217"/>
      <c r="D89" s="138"/>
      <c r="E89" s="115"/>
      <c r="F89" s="115"/>
    </row>
    <row r="90" spans="1:6" x14ac:dyDescent="0.15">
      <c r="E90" s="115"/>
    </row>
  </sheetData>
  <mergeCells count="80">
    <mergeCell ref="A46:D46"/>
    <mergeCell ref="G73:G74"/>
    <mergeCell ref="F71:F75"/>
    <mergeCell ref="G75:I75"/>
    <mergeCell ref="F76:J80"/>
    <mergeCell ref="G56:G57"/>
    <mergeCell ref="G58:G59"/>
    <mergeCell ref="F56:F60"/>
    <mergeCell ref="G60:I60"/>
    <mergeCell ref="F61:F65"/>
    <mergeCell ref="G65:I65"/>
    <mergeCell ref="G66:G67"/>
    <mergeCell ref="G68:G69"/>
    <mergeCell ref="F66:F70"/>
    <mergeCell ref="G70:I70"/>
    <mergeCell ref="B78:B79"/>
    <mergeCell ref="A76:A80"/>
    <mergeCell ref="B80:D80"/>
    <mergeCell ref="F51:F55"/>
    <mergeCell ref="G55:I55"/>
    <mergeCell ref="A51:A55"/>
    <mergeCell ref="B55:D55"/>
    <mergeCell ref="A56:A60"/>
    <mergeCell ref="B60:D60"/>
    <mergeCell ref="A61:A65"/>
    <mergeCell ref="B65:D65"/>
    <mergeCell ref="A66:A70"/>
    <mergeCell ref="B70:D70"/>
    <mergeCell ref="A71:A75"/>
    <mergeCell ref="B75:D75"/>
    <mergeCell ref="B58:B59"/>
    <mergeCell ref="B73:B74"/>
    <mergeCell ref="B76:B77"/>
    <mergeCell ref="B51:B52"/>
    <mergeCell ref="B53:B54"/>
    <mergeCell ref="B56:B57"/>
    <mergeCell ref="B61:B62"/>
    <mergeCell ref="B63:B64"/>
    <mergeCell ref="B66:B67"/>
    <mergeCell ref="B68:B69"/>
    <mergeCell ref="G51:G52"/>
    <mergeCell ref="G53:G54"/>
    <mergeCell ref="G61:G62"/>
    <mergeCell ref="G63:G64"/>
    <mergeCell ref="B71:B72"/>
    <mergeCell ref="G71:G72"/>
    <mergeCell ref="A30:A33"/>
    <mergeCell ref="B30:B31"/>
    <mergeCell ref="B32:B33"/>
    <mergeCell ref="A42:A45"/>
    <mergeCell ref="B42:B43"/>
    <mergeCell ref="B44:B45"/>
    <mergeCell ref="A34:A37"/>
    <mergeCell ref="B34:B35"/>
    <mergeCell ref="B36:B37"/>
    <mergeCell ref="A38:A41"/>
    <mergeCell ref="B38:B39"/>
    <mergeCell ref="B40:B41"/>
    <mergeCell ref="A1:D1"/>
    <mergeCell ref="A10:A13"/>
    <mergeCell ref="B10:B11"/>
    <mergeCell ref="B12:B13"/>
    <mergeCell ref="A22:A25"/>
    <mergeCell ref="B22:B23"/>
    <mergeCell ref="B24:B25"/>
    <mergeCell ref="A14:A17"/>
    <mergeCell ref="B14:B15"/>
    <mergeCell ref="B16:B17"/>
    <mergeCell ref="A18:A21"/>
    <mergeCell ref="B18:B19"/>
    <mergeCell ref="B20:B21"/>
    <mergeCell ref="A2:A5"/>
    <mergeCell ref="B2:B3"/>
    <mergeCell ref="B4:B5"/>
    <mergeCell ref="A6:A9"/>
    <mergeCell ref="B6:B7"/>
    <mergeCell ref="B8:B9"/>
    <mergeCell ref="A26:A29"/>
    <mergeCell ref="B26:B27"/>
    <mergeCell ref="B28:B29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80"/>
  <sheetViews>
    <sheetView topLeftCell="A28" workbookViewId="0">
      <selection activeCell="A47" sqref="A47"/>
    </sheetView>
  </sheetViews>
  <sheetFormatPr defaultRowHeight="10.5" x14ac:dyDescent="0.15"/>
  <cols>
    <col min="1" max="1" width="9.42578125" style="88" bestFit="1" customWidth="1"/>
    <col min="2" max="2" width="10.42578125" style="88" bestFit="1" customWidth="1"/>
    <col min="3" max="3" width="5" style="88" bestFit="1" customWidth="1"/>
    <col min="4" max="4" width="12.5703125" style="88" bestFit="1" customWidth="1"/>
    <col min="5" max="5" width="20.140625" style="88" bestFit="1" customWidth="1"/>
    <col min="6" max="9" width="18.140625" style="88" bestFit="1" customWidth="1"/>
    <col min="10" max="10" width="22" style="88" bestFit="1" customWidth="1"/>
    <col min="11" max="16" width="18.140625" style="88" bestFit="1" customWidth="1"/>
    <col min="17" max="17" width="22" style="88" bestFit="1" customWidth="1"/>
    <col min="18" max="21" width="9.140625" style="88"/>
    <col min="22" max="23" width="15.28515625" style="88" bestFit="1" customWidth="1"/>
    <col min="24" max="16384" width="9.140625" style="88"/>
  </cols>
  <sheetData>
    <row r="1" spans="1:17" x14ac:dyDescent="0.15">
      <c r="A1" s="287"/>
      <c r="B1" s="287"/>
      <c r="C1" s="287"/>
      <c r="D1" s="287"/>
      <c r="E1" s="109">
        <v>43101</v>
      </c>
      <c r="F1" s="109">
        <v>43132</v>
      </c>
      <c r="G1" s="109">
        <v>43160</v>
      </c>
      <c r="H1" s="109">
        <v>43191</v>
      </c>
      <c r="I1" s="109">
        <v>43221</v>
      </c>
      <c r="J1" s="109">
        <v>43252</v>
      </c>
      <c r="K1" s="109">
        <v>43282</v>
      </c>
      <c r="L1" s="109">
        <v>43313</v>
      </c>
      <c r="M1" s="109">
        <v>43344</v>
      </c>
      <c r="N1" s="109">
        <v>43374</v>
      </c>
      <c r="O1" s="109">
        <v>43405</v>
      </c>
      <c r="P1" s="109">
        <v>43435</v>
      </c>
      <c r="Q1" s="157" t="s">
        <v>28</v>
      </c>
    </row>
    <row r="2" spans="1:17" x14ac:dyDescent="0.15">
      <c r="A2" s="285" t="s">
        <v>4</v>
      </c>
      <c r="B2" s="286" t="s">
        <v>3</v>
      </c>
      <c r="C2" s="155">
        <v>0.05</v>
      </c>
      <c r="D2" s="98" t="s">
        <v>0</v>
      </c>
      <c r="E2" s="111">
        <f>('EST_LEI 9478'!E2*0.2)/0.3</f>
        <v>39955.691273044002</v>
      </c>
      <c r="F2" s="111">
        <f>('EST_LEI 9478'!F2*0.2)/0.3</f>
        <v>47239.605377850014</v>
      </c>
      <c r="G2" s="111">
        <f>('EST_LEI 9478'!G2*0.2)/0.3</f>
        <v>45122.337538521999</v>
      </c>
      <c r="H2" s="111">
        <f>('EST_LEI 9478'!H2*0.2)/0.3</f>
        <v>34572.013578452606</v>
      </c>
      <c r="I2" s="111">
        <f>('EST_LEI 9478'!I2*0.2)/0.3</f>
        <v>20670.090039147995</v>
      </c>
      <c r="J2" s="111">
        <f>('EST_LEI 9478'!J2*0.2)/0.3</f>
        <v>19289.904478672008</v>
      </c>
      <c r="K2" s="111">
        <f>('EST_LEI 9478'!K2*0.2)/0.3</f>
        <v>64229.295999999995</v>
      </c>
      <c r="L2" s="111">
        <f>('EST_LEI 9478'!L2*0.2)/0.3</f>
        <v>44489.695999999996</v>
      </c>
      <c r="M2" s="111">
        <f>('EST_LEI 9478'!M2*0.2)/0.3</f>
        <v>59177.73</v>
      </c>
      <c r="N2" s="111">
        <f>('EST_LEI 9478'!N2*0.2)/0.3</f>
        <v>50083.159999999996</v>
      </c>
      <c r="O2" s="111">
        <f>('EST_LEI 9478'!O2*0.2)/0.3</f>
        <v>55965.320000000007</v>
      </c>
      <c r="P2" s="111">
        <f>('EST_LEI 9478'!P2*0.2)/0.3</f>
        <v>53066.295999999995</v>
      </c>
      <c r="Q2" s="112">
        <f>SUM(E2:P2)</f>
        <v>533861.14028568857</v>
      </c>
    </row>
    <row r="3" spans="1:17" x14ac:dyDescent="0.15">
      <c r="A3" s="285"/>
      <c r="B3" s="286"/>
      <c r="C3" s="154" t="s">
        <v>2</v>
      </c>
      <c r="D3" s="98" t="s">
        <v>0</v>
      </c>
      <c r="E3" s="111">
        <f>('EST_LEI 9478'!E3*0.2)/0.225</f>
        <v>34361.894494817854</v>
      </c>
      <c r="F3" s="111">
        <f>('EST_LEI 9478'!F3*0.2)/0.225</f>
        <v>40626.060624951009</v>
      </c>
      <c r="G3" s="111">
        <f>('EST_LEI 9478'!G3*0.2)/0.225</f>
        <v>38805.21028312893</v>
      </c>
      <c r="H3" s="111">
        <f>('EST_LEI 9478'!H3*0.2)/0.225</f>
        <v>29731.931677469249</v>
      </c>
      <c r="I3" s="111">
        <f>('EST_LEI 9478'!I3*0.2)/0.225</f>
        <v>17776.277433667281</v>
      </c>
      <c r="J3" s="111">
        <f>('EST_LEI 9478'!J3*0.2)/0.225</f>
        <v>16589.317851657928</v>
      </c>
      <c r="K3" s="111">
        <f>('EST_LEI 9478'!K3*0.2)/0.225</f>
        <v>55237.194000000003</v>
      </c>
      <c r="L3" s="111">
        <f>('EST_LEI 9478'!L3*0.2)/0.225</f>
        <v>38261.138000000006</v>
      </c>
      <c r="M3" s="111">
        <f>('EST_LEI 9478'!M3*0.2)/0.225</f>
        <v>50892.848000000005</v>
      </c>
      <c r="N3" s="111">
        <f>('EST_LEI 9478'!N3*0.2)/0.225</f>
        <v>43071.518000000004</v>
      </c>
      <c r="O3" s="111">
        <f>('EST_LEI 9478'!O3*0.2)/0.225</f>
        <v>48130.176000000007</v>
      </c>
      <c r="P3" s="111">
        <f>('EST_LEI 9478'!P3*0.2)/0.225</f>
        <v>45637.014000000003</v>
      </c>
      <c r="Q3" s="112">
        <f t="shared" ref="Q3:Q45" si="0">SUM(E3:P3)</f>
        <v>459120.58036569232</v>
      </c>
    </row>
    <row r="4" spans="1:17" x14ac:dyDescent="0.15">
      <c r="A4" s="285"/>
      <c r="B4" s="286" t="s">
        <v>5</v>
      </c>
      <c r="C4" s="155">
        <v>0.05</v>
      </c>
      <c r="D4" s="98" t="s">
        <v>6</v>
      </c>
      <c r="E4" s="111">
        <f>'EST_LEI 9478'!E4</f>
        <v>1133216.9030904339</v>
      </c>
      <c r="F4" s="111">
        <f>'EST_LEI 9478'!F4</f>
        <v>917604.83193322504</v>
      </c>
      <c r="G4" s="111">
        <f>'EST_LEI 9478'!G4</f>
        <v>1188894.9236922169</v>
      </c>
      <c r="H4" s="111">
        <f>'EST_LEI 9478'!H4</f>
        <v>1005579.8096323211</v>
      </c>
      <c r="I4" s="111">
        <f>'EST_LEI 9478'!I4</f>
        <v>1019105.7649412779</v>
      </c>
      <c r="J4" s="111">
        <f>'EST_LEI 9478'!J4</f>
        <v>1110493.6832819921</v>
      </c>
      <c r="K4" s="111">
        <f>'EST_LEI 9478'!K4</f>
        <v>1138272.2960000001</v>
      </c>
      <c r="L4" s="111">
        <f>'EST_LEI 9478'!L4</f>
        <v>1221041.406</v>
      </c>
      <c r="M4" s="111">
        <f>'EST_LEI 9478'!M4</f>
        <v>1230298.9350000001</v>
      </c>
      <c r="N4" s="111">
        <f>'EST_LEI 9478'!N4</f>
        <v>1404293.05</v>
      </c>
      <c r="O4" s="111">
        <f>'EST_LEI 9478'!O4</f>
        <v>1431791.39</v>
      </c>
      <c r="P4" s="111">
        <f>'EST_LEI 9478'!P4</f>
        <v>1440681.5660000001</v>
      </c>
      <c r="Q4" s="112">
        <f t="shared" si="0"/>
        <v>14241274.559571467</v>
      </c>
    </row>
    <row r="5" spans="1:17" x14ac:dyDescent="0.15">
      <c r="A5" s="285"/>
      <c r="B5" s="286"/>
      <c r="C5" s="154" t="s">
        <v>2</v>
      </c>
      <c r="D5" s="98" t="s">
        <v>6</v>
      </c>
      <c r="E5" s="111">
        <f>'EST_LEI 9478'!E5</f>
        <v>726800.84869332984</v>
      </c>
      <c r="F5" s="111">
        <f>'EST_LEI 9478'!F5</f>
        <v>598374.51179693022</v>
      </c>
      <c r="G5" s="111">
        <f>'EST_LEI 9478'!G5</f>
        <v>762597.94843147986</v>
      </c>
      <c r="H5" s="111">
        <f>'EST_LEI 9478'!H5</f>
        <v>645263.27686284715</v>
      </c>
      <c r="I5" s="111">
        <f>'EST_LEI 9478'!I5</f>
        <v>646370.9878871243</v>
      </c>
      <c r="J5" s="111">
        <f>'EST_LEI 9478'!J5</f>
        <v>713742.94741688482</v>
      </c>
      <c r="K5" s="111">
        <f>'EST_LEI 9478'!K5</f>
        <v>721023.59674999991</v>
      </c>
      <c r="L5" s="111">
        <f>'EST_LEI 9478'!L5</f>
        <v>793696.66975000012</v>
      </c>
      <c r="M5" s="111">
        <f>'EST_LEI 9478'!M5</f>
        <v>791701.94599999988</v>
      </c>
      <c r="N5" s="111">
        <f>'EST_LEI 9478'!N5</f>
        <v>906149.32224999997</v>
      </c>
      <c r="O5" s="111">
        <f>'EST_LEI 9478'!O5</f>
        <v>922065.22199999995</v>
      </c>
      <c r="P5" s="111">
        <f>'EST_LEI 9478'!P5</f>
        <v>925600.84924999997</v>
      </c>
      <c r="Q5" s="112">
        <f t="shared" si="0"/>
        <v>9153388.1270885952</v>
      </c>
    </row>
    <row r="6" spans="1:17" x14ac:dyDescent="0.15">
      <c r="A6" s="285" t="s">
        <v>8</v>
      </c>
      <c r="B6" s="286" t="s">
        <v>3</v>
      </c>
      <c r="C6" s="155">
        <v>0.05</v>
      </c>
      <c r="D6" s="98" t="s">
        <v>0</v>
      </c>
      <c r="E6" s="111">
        <f>('EST_LEI 9478'!E6*0.2)/0.3</f>
        <v>0</v>
      </c>
      <c r="F6" s="111">
        <f>('EST_LEI 9478'!F6*0.2)/0.3</f>
        <v>0</v>
      </c>
      <c r="G6" s="111">
        <f>('EST_LEI 9478'!G6*0.2)/0.3</f>
        <v>0</v>
      </c>
      <c r="H6" s="111">
        <f>('EST_LEI 9478'!H6*0.2)/0.3</f>
        <v>0</v>
      </c>
      <c r="I6" s="111">
        <f>('EST_LEI 9478'!I6*0.2)/0.3</f>
        <v>0</v>
      </c>
      <c r="J6" s="111">
        <f>('EST_LEI 9478'!J6*0.2)/0.3</f>
        <v>0</v>
      </c>
      <c r="K6" s="111">
        <f>('EST_LEI 9478'!K6*0.2)/0.3</f>
        <v>0</v>
      </c>
      <c r="L6" s="111">
        <f>('EST_LEI 9478'!L6*0.2)/0.3</f>
        <v>0</v>
      </c>
      <c r="M6" s="111">
        <f>('EST_LEI 9478'!M6*0.2)/0.3</f>
        <v>0</v>
      </c>
      <c r="N6" s="111">
        <f>('EST_LEI 9478'!N6*0.2)/0.3</f>
        <v>0</v>
      </c>
      <c r="O6" s="111">
        <f>('EST_LEI 9478'!O6*0.2)/0.3</f>
        <v>0</v>
      </c>
      <c r="P6" s="111">
        <f>('EST_LEI 9478'!P6*0.2)/0.3</f>
        <v>0</v>
      </c>
      <c r="Q6" s="112">
        <f t="shared" si="0"/>
        <v>0</v>
      </c>
    </row>
    <row r="7" spans="1:17" x14ac:dyDescent="0.15">
      <c r="A7" s="285"/>
      <c r="B7" s="286"/>
      <c r="C7" s="154" t="s">
        <v>2</v>
      </c>
      <c r="D7" s="98" t="s">
        <v>0</v>
      </c>
      <c r="E7" s="111">
        <f>('EST_LEI 9478'!E7*0.2)/0.225</f>
        <v>0</v>
      </c>
      <c r="F7" s="111">
        <f>('EST_LEI 9478'!F7*0.2)/0.225</f>
        <v>0</v>
      </c>
      <c r="G7" s="111">
        <f>('EST_LEI 9478'!G7*0.2)/0.225</f>
        <v>0</v>
      </c>
      <c r="H7" s="111">
        <f>('EST_LEI 9478'!H7*0.2)/0.225</f>
        <v>0</v>
      </c>
      <c r="I7" s="111">
        <f>('EST_LEI 9478'!I7*0.2)/0.225</f>
        <v>0</v>
      </c>
      <c r="J7" s="111">
        <f>('EST_LEI 9478'!J7*0.2)/0.225</f>
        <v>0</v>
      </c>
      <c r="K7" s="111">
        <f>('EST_LEI 9478'!K7*0.2)/0.225</f>
        <v>0</v>
      </c>
      <c r="L7" s="111">
        <f>('EST_LEI 9478'!L7*0.2)/0.225</f>
        <v>0</v>
      </c>
      <c r="M7" s="111">
        <f>('EST_LEI 9478'!M7*0.2)/0.225</f>
        <v>0</v>
      </c>
      <c r="N7" s="111">
        <f>('EST_LEI 9478'!N7*0.2)/0.225</f>
        <v>0</v>
      </c>
      <c r="O7" s="111">
        <f>('EST_LEI 9478'!O7*0.2)/0.225</f>
        <v>0</v>
      </c>
      <c r="P7" s="111">
        <f>('EST_LEI 9478'!P7*0.2)/0.225</f>
        <v>0</v>
      </c>
      <c r="Q7" s="112">
        <f t="shared" si="0"/>
        <v>0</v>
      </c>
    </row>
    <row r="8" spans="1:17" x14ac:dyDescent="0.15">
      <c r="A8" s="285"/>
      <c r="B8" s="286" t="s">
        <v>5</v>
      </c>
      <c r="C8" s="155">
        <v>0.05</v>
      </c>
      <c r="D8" s="98" t="s">
        <v>6</v>
      </c>
      <c r="E8" s="111">
        <f>'EST_LEI 9478'!E8</f>
        <v>8839555.9100000001</v>
      </c>
      <c r="F8" s="111">
        <f>'EST_LEI 9478'!F8</f>
        <v>8920491.9499999993</v>
      </c>
      <c r="G8" s="111">
        <f>'EST_LEI 9478'!G8</f>
        <v>9572875.9100000001</v>
      </c>
      <c r="H8" s="111">
        <f>'EST_LEI 9478'!H8</f>
        <v>8555236.6199999992</v>
      </c>
      <c r="I8" s="111">
        <f>'EST_LEI 9478'!I8</f>
        <v>9334424.8000000007</v>
      </c>
      <c r="J8" s="111">
        <f>'EST_LEI 9478'!J8</f>
        <v>10179585.1</v>
      </c>
      <c r="K8" s="111">
        <f>'EST_LEI 9478'!K8</f>
        <v>11819404.34</v>
      </c>
      <c r="L8" s="111">
        <f>'EST_LEI 9478'!L8</f>
        <v>11426029.310000001</v>
      </c>
      <c r="M8" s="111">
        <f>'EST_LEI 9478'!M8</f>
        <v>11780628.689999999</v>
      </c>
      <c r="N8" s="111">
        <f>'EST_LEI 9478'!N8</f>
        <v>12754840.449999999</v>
      </c>
      <c r="O8" s="111">
        <f>'EST_LEI 9478'!O8</f>
        <v>13628704.99</v>
      </c>
      <c r="P8" s="111">
        <f>'EST_LEI 9478'!P8</f>
        <v>12619359.609999999</v>
      </c>
      <c r="Q8" s="112">
        <f t="shared" si="0"/>
        <v>129431137.67999999</v>
      </c>
    </row>
    <row r="9" spans="1:17" x14ac:dyDescent="0.15">
      <c r="A9" s="285"/>
      <c r="B9" s="286"/>
      <c r="C9" s="154" t="s">
        <v>2</v>
      </c>
      <c r="D9" s="98" t="s">
        <v>6</v>
      </c>
      <c r="E9" s="111">
        <f>'EST_LEI 9478'!E9</f>
        <v>6342098.4900000002</v>
      </c>
      <c r="F9" s="111">
        <f>'EST_LEI 9478'!F9</f>
        <v>6330694.1900000004</v>
      </c>
      <c r="G9" s="111">
        <f>'EST_LEI 9478'!G9</f>
        <v>6758722.21</v>
      </c>
      <c r="H9" s="111">
        <f>'EST_LEI 9478'!H9</f>
        <v>6083312.5999999996</v>
      </c>
      <c r="I9" s="111">
        <f>'EST_LEI 9478'!I9</f>
        <v>6640451.3099999996</v>
      </c>
      <c r="J9" s="111">
        <f>'EST_LEI 9478'!J9</f>
        <v>7254593.9299999997</v>
      </c>
      <c r="K9" s="111">
        <f>'EST_LEI 9478'!K9</f>
        <v>8428887.4600000009</v>
      </c>
      <c r="L9" s="111">
        <f>'EST_LEI 9478'!L9</f>
        <v>8093060.7199999997</v>
      </c>
      <c r="M9" s="111">
        <f>'EST_LEI 9478'!M9</f>
        <v>8363499.1900000004</v>
      </c>
      <c r="N9" s="111">
        <f>'EST_LEI 9478'!N9</f>
        <v>9082878.3699999992</v>
      </c>
      <c r="O9" s="111">
        <f>'EST_LEI 9478'!O9</f>
        <v>9704201.1500000004</v>
      </c>
      <c r="P9" s="111">
        <f>'EST_LEI 9478'!P9</f>
        <v>8971419.5299999993</v>
      </c>
      <c r="Q9" s="112">
        <f t="shared" si="0"/>
        <v>92053819.150000006</v>
      </c>
    </row>
    <row r="10" spans="1:17" x14ac:dyDescent="0.15">
      <c r="A10" s="285" t="s">
        <v>10</v>
      </c>
      <c r="B10" s="286" t="s">
        <v>3</v>
      </c>
      <c r="C10" s="155">
        <v>0.05</v>
      </c>
      <c r="D10" s="98" t="s">
        <v>0</v>
      </c>
      <c r="E10" s="111">
        <f>('EST_LEI 9478'!E10*0.2)/0.3</f>
        <v>959081.66396578914</v>
      </c>
      <c r="F10" s="111">
        <f>('EST_LEI 9478'!F10*0.2)/0.3</f>
        <v>1027942.8656451907</v>
      </c>
      <c r="G10" s="111">
        <f>('EST_LEI 9478'!G10*0.2)/0.3</f>
        <v>832703.18383265182</v>
      </c>
      <c r="H10" s="111">
        <f>('EST_LEI 9478'!H10*0.2)/0.3</f>
        <v>743259.74081015657</v>
      </c>
      <c r="I10" s="111">
        <f>('EST_LEI 9478'!I10*0.2)/0.3</f>
        <v>816442.09280617349</v>
      </c>
      <c r="J10" s="111">
        <f>('EST_LEI 9478'!J10*0.2)/0.3</f>
        <v>749900.4146409448</v>
      </c>
      <c r="K10" s="111">
        <f>('EST_LEI 9478'!K10*0.2)/0.3</f>
        <v>1022186.89</v>
      </c>
      <c r="L10" s="111">
        <f>('EST_LEI 9478'!L10*0.2)/0.3</f>
        <v>895196.04000000015</v>
      </c>
      <c r="M10" s="111">
        <f>('EST_LEI 9478'!M10*0.2)/0.3</f>
        <v>951564.96199999994</v>
      </c>
      <c r="N10" s="111">
        <f>('EST_LEI 9478'!N10*0.2)/0.3</f>
        <v>962475.34399999992</v>
      </c>
      <c r="O10" s="111">
        <f>('EST_LEI 9478'!O10*0.2)/0.3</f>
        <v>988653.2100000002</v>
      </c>
      <c r="P10" s="111">
        <f>('EST_LEI 9478'!P10*0.2)/0.3</f>
        <v>981536.48199999996</v>
      </c>
      <c r="Q10" s="112">
        <f t="shared" si="0"/>
        <v>10930942.889700908</v>
      </c>
    </row>
    <row r="11" spans="1:17" x14ac:dyDescent="0.15">
      <c r="A11" s="285"/>
      <c r="B11" s="286"/>
      <c r="C11" s="154" t="s">
        <v>2</v>
      </c>
      <c r="D11" s="98" t="s">
        <v>0</v>
      </c>
      <c r="E11" s="111">
        <f>('EST_LEI 9478'!E11*0.2)/0.225</f>
        <v>481320.61492956016</v>
      </c>
      <c r="F11" s="111">
        <f>('EST_LEI 9478'!F11*0.2)/0.225</f>
        <v>516052.73551512638</v>
      </c>
      <c r="G11" s="111">
        <f>('EST_LEI 9478'!G11*0.2)/0.225</f>
        <v>418359.84323111537</v>
      </c>
      <c r="H11" s="111">
        <f>('EST_LEI 9478'!H11*0.2)/0.225</f>
        <v>373380.89790156024</v>
      </c>
      <c r="I11" s="111">
        <f>('EST_LEI 9478'!I11*0.2)/0.225</f>
        <v>410169.03503377084</v>
      </c>
      <c r="J11" s="111">
        <f>('EST_LEI 9478'!J11*0.2)/0.225</f>
        <v>377038.49640505749</v>
      </c>
      <c r="K11" s="111">
        <f>('EST_LEI 9478'!K11*0.2)/0.225</f>
        <v>545972.74</v>
      </c>
      <c r="L11" s="111">
        <f>('EST_LEI 9478'!L11*0.2)/0.225</f>
        <v>449074.39399999997</v>
      </c>
      <c r="M11" s="111">
        <f>('EST_LEI 9478'!M11*0.2)/0.225</f>
        <v>477423.98800000001</v>
      </c>
      <c r="N11" s="111">
        <f>('EST_LEI 9478'!N11*0.2)/0.225</f>
        <v>483394.2080000001</v>
      </c>
      <c r="O11" s="111">
        <f>('EST_LEI 9478'!O11*0.2)/0.225</f>
        <v>496754.44199999998</v>
      </c>
      <c r="P11" s="111">
        <f>('EST_LEI 9478'!P11*0.2)/0.225</f>
        <v>493589.07800000004</v>
      </c>
      <c r="Q11" s="112">
        <f t="shared" si="0"/>
        <v>5522530.4730161903</v>
      </c>
    </row>
    <row r="12" spans="1:17" x14ac:dyDescent="0.15">
      <c r="A12" s="285"/>
      <c r="B12" s="286" t="s">
        <v>5</v>
      </c>
      <c r="C12" s="155">
        <v>0.05</v>
      </c>
      <c r="D12" s="98" t="s">
        <v>6</v>
      </c>
      <c r="E12" s="111">
        <f>'EST_LEI 9478'!E12</f>
        <v>7385686.2440513168</v>
      </c>
      <c r="F12" s="111">
        <f>'EST_LEI 9478'!F12</f>
        <v>7795819.3515322143</v>
      </c>
      <c r="G12" s="111">
        <f>'EST_LEI 9478'!G12</f>
        <v>8286354.6142510232</v>
      </c>
      <c r="H12" s="111">
        <f>'EST_LEI 9478'!H12</f>
        <v>6860075.4087847658</v>
      </c>
      <c r="I12" s="111">
        <f>'EST_LEI 9478'!I12</f>
        <v>7481382.9707907392</v>
      </c>
      <c r="J12" s="111">
        <f>'EST_LEI 9478'!J12</f>
        <v>7995656.0780385826</v>
      </c>
      <c r="K12" s="111">
        <f>'EST_LEI 9478'!K12</f>
        <v>9142706.0650000013</v>
      </c>
      <c r="L12" s="111">
        <f>'EST_LEI 9478'!L12</f>
        <v>9208152.5999999996</v>
      </c>
      <c r="M12" s="111">
        <f>'EST_LEI 9478'!M12</f>
        <v>9530830.9269999992</v>
      </c>
      <c r="N12" s="111">
        <f>'EST_LEI 9478'!N12</f>
        <v>9670733.0940000005</v>
      </c>
      <c r="O12" s="111">
        <f>'EST_LEI 9478'!O12</f>
        <v>10527725.175000001</v>
      </c>
      <c r="P12" s="111">
        <f>'EST_LEI 9478'!P12</f>
        <v>10492058.907000002</v>
      </c>
      <c r="Q12" s="112">
        <f t="shared" si="0"/>
        <v>104377181.43544863</v>
      </c>
    </row>
    <row r="13" spans="1:17" x14ac:dyDescent="0.15">
      <c r="A13" s="285"/>
      <c r="B13" s="286"/>
      <c r="C13" s="154" t="s">
        <v>2</v>
      </c>
      <c r="D13" s="98" t="s">
        <v>6</v>
      </c>
      <c r="E13" s="111">
        <f>'EST_LEI 9478'!E13</f>
        <v>4706822.0582042448</v>
      </c>
      <c r="F13" s="111">
        <f>'EST_LEI 9478'!F13</f>
        <v>4961158.8625454828</v>
      </c>
      <c r="G13" s="111">
        <f>'EST_LEI 9478'!G13</f>
        <v>5288572.8763649957</v>
      </c>
      <c r="H13" s="111">
        <f>'EST_LEI 9478'!H13</f>
        <v>4393912.539860745</v>
      </c>
      <c r="I13" s="111">
        <f>'EST_LEI 9478'!I13</f>
        <v>4766355.0455870079</v>
      </c>
      <c r="J13" s="111">
        <f>'EST_LEI 9478'!J13</f>
        <v>5105687.1315443097</v>
      </c>
      <c r="K13" s="111">
        <f>'EST_LEI 9478'!K13</f>
        <v>5830416.4474999998</v>
      </c>
      <c r="L13" s="111">
        <f>'EST_LEI 9478'!L13</f>
        <v>5868143.1067500012</v>
      </c>
      <c r="M13" s="111">
        <f>'EST_LEI 9478'!M13</f>
        <v>6112760.0434999997</v>
      </c>
      <c r="N13" s="111">
        <f>'EST_LEI 9478'!N13</f>
        <v>6189019.7159999991</v>
      </c>
      <c r="O13" s="111">
        <f>'EST_LEI 9478'!O13</f>
        <v>6735726.8627500003</v>
      </c>
      <c r="P13" s="111">
        <f>'EST_LEI 9478'!P13</f>
        <v>6755979.3372499999</v>
      </c>
      <c r="Q13" s="112">
        <f t="shared" si="0"/>
        <v>66714554.02785679</v>
      </c>
    </row>
    <row r="14" spans="1:17" x14ac:dyDescent="0.15">
      <c r="A14" s="285" t="s">
        <v>11</v>
      </c>
      <c r="B14" s="286" t="s">
        <v>3</v>
      </c>
      <c r="C14" s="155">
        <v>0.05</v>
      </c>
      <c r="D14" s="98" t="s">
        <v>0</v>
      </c>
      <c r="E14" s="111">
        <f>('EST_LEI 9478'!E14*0.2)/0.3</f>
        <v>257071.00371860104</v>
      </c>
      <c r="F14" s="111">
        <f>('EST_LEI 9478'!F14*0.2)/0.3</f>
        <v>252730.858230285</v>
      </c>
      <c r="G14" s="111">
        <f>('EST_LEI 9478'!G14*0.2)/0.3</f>
        <v>261157.38347269766</v>
      </c>
      <c r="H14" s="111">
        <f>('EST_LEI 9478'!H14*0.2)/0.3</f>
        <v>226680.30608523104</v>
      </c>
      <c r="I14" s="111">
        <f>('EST_LEI 9478'!I14*0.2)/0.3</f>
        <v>265742.10173016106</v>
      </c>
      <c r="J14" s="111">
        <f>('EST_LEI 9478'!J14*0.2)/0.3</f>
        <v>312126.46494825208</v>
      </c>
      <c r="K14" s="111">
        <f>('EST_LEI 9478'!K14*0.2)/0.3</f>
        <v>378558.80800000002</v>
      </c>
      <c r="L14" s="111">
        <f>('EST_LEI 9478'!L14*0.2)/0.3</f>
        <v>369051.73200000002</v>
      </c>
      <c r="M14" s="111">
        <f>('EST_LEI 9478'!M14*0.2)/0.3</f>
        <v>391951.91600000003</v>
      </c>
      <c r="N14" s="111">
        <f>('EST_LEI 9478'!N14*0.2)/0.3</f>
        <v>401627.1540000001</v>
      </c>
      <c r="O14" s="111">
        <f>('EST_LEI 9478'!O14*0.2)/0.3</f>
        <v>425035.44199999998</v>
      </c>
      <c r="P14" s="111">
        <f>('EST_LEI 9478'!P14*0.2)/0.3</f>
        <v>422829.848</v>
      </c>
      <c r="Q14" s="112">
        <f t="shared" si="0"/>
        <v>3964563.0181852281</v>
      </c>
    </row>
    <row r="15" spans="1:17" x14ac:dyDescent="0.15">
      <c r="A15" s="285"/>
      <c r="B15" s="286"/>
      <c r="C15" s="154" t="s">
        <v>2</v>
      </c>
      <c r="D15" s="98" t="s">
        <v>0</v>
      </c>
      <c r="E15" s="111">
        <f>('EST_LEI 9478'!E15*0.2)/0.225</f>
        <v>257071.00371860102</v>
      </c>
      <c r="F15" s="111">
        <f>('EST_LEI 9478'!F15*0.2)/0.225</f>
        <v>252730.85823028503</v>
      </c>
      <c r="G15" s="111">
        <f>('EST_LEI 9478'!G15*0.2)/0.225</f>
        <v>261157.38347269766</v>
      </c>
      <c r="H15" s="111">
        <f>('EST_LEI 9478'!H15*0.2)/0.225</f>
        <v>226680.30608523102</v>
      </c>
      <c r="I15" s="111">
        <f>('EST_LEI 9478'!I15*0.2)/0.225</f>
        <v>265742.10173016106</v>
      </c>
      <c r="J15" s="111">
        <f>('EST_LEI 9478'!J15*0.2)/0.225</f>
        <v>312126.46494825208</v>
      </c>
      <c r="K15" s="111">
        <f>('EST_LEI 9478'!K15*0.2)/0.225</f>
        <v>378558.80800000002</v>
      </c>
      <c r="L15" s="111">
        <f>('EST_LEI 9478'!L15*0.2)/0.225</f>
        <v>369051.73200000008</v>
      </c>
      <c r="M15" s="111">
        <f>('EST_LEI 9478'!M15*0.2)/0.225</f>
        <v>391951.91600000003</v>
      </c>
      <c r="N15" s="111">
        <f>('EST_LEI 9478'!N15*0.2)/0.225</f>
        <v>401627.15399999998</v>
      </c>
      <c r="O15" s="111">
        <f>('EST_LEI 9478'!O15*0.2)/0.225</f>
        <v>425035.44200000004</v>
      </c>
      <c r="P15" s="111">
        <f>('EST_LEI 9478'!P15*0.2)/0.225</f>
        <v>422829.84800000006</v>
      </c>
      <c r="Q15" s="112">
        <f t="shared" si="0"/>
        <v>3964563.0181852281</v>
      </c>
    </row>
    <row r="16" spans="1:17" x14ac:dyDescent="0.15">
      <c r="A16" s="285"/>
      <c r="B16" s="286" t="s">
        <v>5</v>
      </c>
      <c r="C16" s="155">
        <v>0.05</v>
      </c>
      <c r="D16" s="98" t="s">
        <v>6</v>
      </c>
      <c r="E16" s="111">
        <f>'EST_LEI 9478'!E16</f>
        <v>197762.91442209849</v>
      </c>
      <c r="F16" s="111">
        <f>'EST_LEI 9478'!F16</f>
        <v>210099.24265457253</v>
      </c>
      <c r="G16" s="111">
        <f>'EST_LEI 9478'!G16</f>
        <v>193582.14479095349</v>
      </c>
      <c r="H16" s="111">
        <f>'EST_LEI 9478'!H16</f>
        <v>167567.30087215349</v>
      </c>
      <c r="I16" s="111">
        <f>'EST_LEI 9478'!I16</f>
        <v>188598.5974047585</v>
      </c>
      <c r="J16" s="111">
        <f>'EST_LEI 9478'!J16</f>
        <v>209786.82257762196</v>
      </c>
      <c r="K16" s="111">
        <f>'EST_LEI 9478'!K16</f>
        <v>209280.67800000007</v>
      </c>
      <c r="L16" s="111">
        <f>'EST_LEI 9478'!L16</f>
        <v>301074.28200000001</v>
      </c>
      <c r="M16" s="111">
        <f>'EST_LEI 9478'!M16</f>
        <v>277232.99600000004</v>
      </c>
      <c r="N16" s="111">
        <f>'EST_LEI 9478'!N16</f>
        <v>272217.45899999992</v>
      </c>
      <c r="O16" s="111">
        <f>'EST_LEI 9478'!O16</f>
        <v>302245.37700000009</v>
      </c>
      <c r="P16" s="111">
        <f>'EST_LEI 9478'!P16</f>
        <v>290602.43799999997</v>
      </c>
      <c r="Q16" s="112">
        <f t="shared" si="0"/>
        <v>2820050.252722159</v>
      </c>
    </row>
    <row r="17" spans="1:17" x14ac:dyDescent="0.15">
      <c r="A17" s="285"/>
      <c r="B17" s="286"/>
      <c r="C17" s="154" t="s">
        <v>2</v>
      </c>
      <c r="D17" s="98" t="s">
        <v>6</v>
      </c>
      <c r="E17" s="111">
        <f>'EST_LEI 9478'!E17</f>
        <v>83155.760816573864</v>
      </c>
      <c r="F17" s="111">
        <f>'EST_LEI 9478'!F17</f>
        <v>88389.454490929376</v>
      </c>
      <c r="G17" s="111">
        <f>'EST_LEI 9478'!G17</f>
        <v>81446.733593215118</v>
      </c>
      <c r="H17" s="111">
        <f>'EST_LEI 9478'!H17</f>
        <v>70499.995654115075</v>
      </c>
      <c r="I17" s="111">
        <f>'EST_LEI 9478'!I17</f>
        <v>79302.085553568846</v>
      </c>
      <c r="J17" s="111">
        <f>'EST_LEI 9478'!J17</f>
        <v>88232.04693321645</v>
      </c>
      <c r="K17" s="111">
        <f>'EST_LEI 9478'!K17</f>
        <v>88029.400999999954</v>
      </c>
      <c r="L17" s="111">
        <f>'EST_LEI 9478'!L17</f>
        <v>126709.81149999995</v>
      </c>
      <c r="M17" s="111">
        <f>'EST_LEI 9478'!M17</f>
        <v>116694.43450000009</v>
      </c>
      <c r="N17" s="111">
        <f>'EST_LEI 9478'!N17</f>
        <v>114549.76174999995</v>
      </c>
      <c r="O17" s="111">
        <f>'EST_LEI 9478'!O17</f>
        <v>127229.48774999997</v>
      </c>
      <c r="P17" s="111">
        <f>'EST_LEI 9478'!P17</f>
        <v>122267.82099999994</v>
      </c>
      <c r="Q17" s="112">
        <f t="shared" si="0"/>
        <v>1186506.7945416188</v>
      </c>
    </row>
    <row r="18" spans="1:17" x14ac:dyDescent="0.15">
      <c r="A18" s="285" t="s">
        <v>12</v>
      </c>
      <c r="B18" s="286" t="s">
        <v>3</v>
      </c>
      <c r="C18" s="155">
        <v>0.05</v>
      </c>
      <c r="D18" s="98" t="s">
        <v>0</v>
      </c>
      <c r="E18" s="111">
        <f>('EST_LEI 9478'!E18*0.2)/0.3</f>
        <v>20379049.014981348</v>
      </c>
      <c r="F18" s="111">
        <f>('EST_LEI 9478'!F18*0.2)/0.3</f>
        <v>22857744.048854295</v>
      </c>
      <c r="G18" s="111">
        <f>('EST_LEI 9478'!G18*0.2)/0.3</f>
        <v>22376501.58645913</v>
      </c>
      <c r="H18" s="111">
        <f>('EST_LEI 9478'!H18*0.2)/0.3</f>
        <v>18636186.543354057</v>
      </c>
      <c r="I18" s="111">
        <f>('EST_LEI 9478'!I18*0.2)/0.3</f>
        <v>20960791.073772691</v>
      </c>
      <c r="J18" s="111">
        <f>('EST_LEI 9478'!J18*0.2)/0.3</f>
        <v>23953644.361609716</v>
      </c>
      <c r="K18" s="111">
        <f>('EST_LEI 9478'!K18*0.2)/0.3</f>
        <v>27928720.906478092</v>
      </c>
      <c r="L18" s="111">
        <f>('EST_LEI 9478'!L18*0.2)/0.3</f>
        <v>25657177.926605195</v>
      </c>
      <c r="M18" s="111">
        <f>('EST_LEI 9478'!M18*0.2)/0.3</f>
        <v>26219655.508467298</v>
      </c>
      <c r="N18" s="111">
        <f>('EST_LEI 9478'!N18*0.2)/0.3</f>
        <v>28969535.271707509</v>
      </c>
      <c r="O18" s="111">
        <f>('EST_LEI 9478'!O18*0.2)/0.3</f>
        <v>26672395.605439097</v>
      </c>
      <c r="P18" s="111">
        <f>('EST_LEI 9478'!P18*0.2)/0.3</f>
        <v>31212930.035051052</v>
      </c>
      <c r="Q18" s="112">
        <f t="shared" si="0"/>
        <v>295824331.88277948</v>
      </c>
    </row>
    <row r="19" spans="1:17" x14ac:dyDescent="0.15">
      <c r="A19" s="285"/>
      <c r="B19" s="286"/>
      <c r="C19" s="154" t="s">
        <v>2</v>
      </c>
      <c r="D19" s="98" t="s">
        <v>0</v>
      </c>
      <c r="E19" s="111">
        <f>('EST_LEI 9478'!E19*0.2)/0.225</f>
        <v>22157323.95803665</v>
      </c>
      <c r="F19" s="111">
        <f>('EST_LEI 9478'!F19*0.2)/0.225</f>
        <v>24748306.948879428</v>
      </c>
      <c r="G19" s="111">
        <f>('EST_LEI 9478'!G19*0.2)/0.225</f>
        <v>24216216.969872858</v>
      </c>
      <c r="H19" s="111">
        <f>('EST_LEI 9478'!H19*0.2)/0.225</f>
        <v>20206269.514660958</v>
      </c>
      <c r="I19" s="111">
        <f>('EST_LEI 9478'!I19*0.2)/0.225</f>
        <v>22749592.860790722</v>
      </c>
      <c r="J19" s="111">
        <f>('EST_LEI 9478'!J19*0.2)/0.225</f>
        <v>25863075.053532533</v>
      </c>
      <c r="K19" s="111">
        <f>('EST_LEI 9478'!K19*0.2)/0.225</f>
        <v>30101391.442633618</v>
      </c>
      <c r="L19" s="111">
        <f>('EST_LEI 9478'!L19*0.2)/0.225</f>
        <v>27774931.824481726</v>
      </c>
      <c r="M19" s="111">
        <f>('EST_LEI 9478'!M19*0.2)/0.225</f>
        <v>28088871.118912879</v>
      </c>
      <c r="N19" s="111">
        <f>('EST_LEI 9478'!N19*0.2)/0.225</f>
        <v>30972842.134244375</v>
      </c>
      <c r="O19" s="111">
        <f>('EST_LEI 9478'!O19*0.2)/0.225</f>
        <v>28615685.711822033</v>
      </c>
      <c r="P19" s="111">
        <f>('EST_LEI 9478'!P19*0.2)/0.225</f>
        <v>33509419.190638658</v>
      </c>
      <c r="Q19" s="112">
        <f t="shared" si="0"/>
        <v>319003926.72850645</v>
      </c>
    </row>
    <row r="20" spans="1:17" x14ac:dyDescent="0.15">
      <c r="A20" s="285"/>
      <c r="B20" s="286" t="s">
        <v>5</v>
      </c>
      <c r="C20" s="155">
        <v>0.05</v>
      </c>
      <c r="D20" s="98" t="s">
        <v>6</v>
      </c>
      <c r="E20" s="111">
        <f>'EST_LEI 9478'!E20</f>
        <v>2006235.2075279802</v>
      </c>
      <c r="F20" s="111">
        <f>'EST_LEI 9478'!F20</f>
        <v>2072673.6067185625</v>
      </c>
      <c r="G20" s="111">
        <f>'EST_LEI 9478'!G20</f>
        <v>2198890.3603112996</v>
      </c>
      <c r="H20" s="111">
        <f>'EST_LEI 9478'!H20</f>
        <v>1879301.4549689144</v>
      </c>
      <c r="I20" s="111">
        <f>'EST_LEI 9478'!I20</f>
        <v>2008840.8293409683</v>
      </c>
      <c r="J20" s="111">
        <f>'EST_LEI 9478'!J20</f>
        <v>2234861.2075854316</v>
      </c>
      <c r="K20" s="111">
        <f>'EST_LEI 9478'!K20</f>
        <v>2607570.8102828637</v>
      </c>
      <c r="L20" s="111">
        <f>'EST_LEI 9478'!L20</f>
        <v>2461297.490092203</v>
      </c>
      <c r="M20" s="111">
        <f>'EST_LEI 9478'!M20</f>
        <v>2578792.8072990552</v>
      </c>
      <c r="N20" s="111">
        <f>'EST_LEI 9478'!N20</f>
        <v>2417915.6824387461</v>
      </c>
      <c r="O20" s="111">
        <f>'EST_LEI 9478'!O20</f>
        <v>2626319.2018413544</v>
      </c>
      <c r="P20" s="111">
        <f>'EST_LEI 9478'!P20</f>
        <v>2596553.7974234223</v>
      </c>
      <c r="Q20" s="112">
        <f t="shared" si="0"/>
        <v>27689252.455830801</v>
      </c>
    </row>
    <row r="21" spans="1:17" x14ac:dyDescent="0.15">
      <c r="A21" s="285"/>
      <c r="B21" s="286"/>
      <c r="C21" s="154" t="s">
        <v>2</v>
      </c>
      <c r="D21" s="98" t="s">
        <v>6</v>
      </c>
      <c r="E21" s="111">
        <f>'EST_LEI 9478'!E21</f>
        <v>1213350.1472087689</v>
      </c>
      <c r="F21" s="111">
        <f>'EST_LEI 9478'!F21</f>
        <v>1234226.052510649</v>
      </c>
      <c r="G21" s="111">
        <f>'EST_LEI 9478'!G21</f>
        <v>1301538.3588930368</v>
      </c>
      <c r="H21" s="111">
        <f>'EST_LEI 9478'!H21</f>
        <v>1113823.3360064216</v>
      </c>
      <c r="I21" s="111">
        <f>'EST_LEI 9478'!I21</f>
        <v>1172245.9716104381</v>
      </c>
      <c r="J21" s="111">
        <f>'EST_LEI 9478'!J21</f>
        <v>1304937.7947759032</v>
      </c>
      <c r="K21" s="111">
        <f>'EST_LEI 9478'!K21</f>
        <v>1509356.7270371839</v>
      </c>
      <c r="L21" s="111">
        <f>'EST_LEI 9478'!L21</f>
        <v>1413205.3874580599</v>
      </c>
      <c r="M21" s="111">
        <f>'EST_LEI 9478'!M21</f>
        <v>1477314.0012230128</v>
      </c>
      <c r="N21" s="111">
        <f>'EST_LEI 9478'!N21</f>
        <v>1386168.918975085</v>
      </c>
      <c r="O21" s="111">
        <f>'EST_LEI 9478'!O21</f>
        <v>1531726.3042002171</v>
      </c>
      <c r="P21" s="111">
        <f>'EST_LEI 9478'!P21</f>
        <v>1502413.7005315199</v>
      </c>
      <c r="Q21" s="112">
        <f t="shared" si="0"/>
        <v>16160306.700430296</v>
      </c>
    </row>
    <row r="22" spans="1:17" x14ac:dyDescent="0.15">
      <c r="A22" s="285" t="s">
        <v>13</v>
      </c>
      <c r="B22" s="286" t="s">
        <v>3</v>
      </c>
      <c r="C22" s="155">
        <v>0.05</v>
      </c>
      <c r="D22" s="98" t="s">
        <v>0</v>
      </c>
      <c r="E22" s="111">
        <f>('EST_LEI 9478'!E22*0.2)/0.3</f>
        <v>0</v>
      </c>
      <c r="F22" s="111">
        <f>('EST_LEI 9478'!F22*0.2)/0.3</f>
        <v>0</v>
      </c>
      <c r="G22" s="111">
        <f>('EST_LEI 9478'!G22*0.2)/0.3</f>
        <v>0</v>
      </c>
      <c r="H22" s="111">
        <f>('EST_LEI 9478'!H22*0.2)/0.3</f>
        <v>0</v>
      </c>
      <c r="I22" s="111">
        <f>('EST_LEI 9478'!I22*0.2)/0.3</f>
        <v>0</v>
      </c>
      <c r="J22" s="111">
        <f>('EST_LEI 9478'!J22*0.2)/0.3</f>
        <v>0</v>
      </c>
      <c r="K22" s="111">
        <f>('EST_LEI 9478'!K22*0.2)/0.3</f>
        <v>0</v>
      </c>
      <c r="L22" s="111">
        <f>('EST_LEI 9478'!L22*0.2)/0.3</f>
        <v>0</v>
      </c>
      <c r="M22" s="111">
        <f>('EST_LEI 9478'!M22*0.2)/0.3</f>
        <v>0</v>
      </c>
      <c r="N22" s="111">
        <f>('EST_LEI 9478'!N22*0.2)/0.3</f>
        <v>0</v>
      </c>
      <c r="O22" s="111">
        <f>('EST_LEI 9478'!O22*0.2)/0.3</f>
        <v>0</v>
      </c>
      <c r="P22" s="111">
        <f>('EST_LEI 9478'!P22*0.2)/0.3</f>
        <v>0</v>
      </c>
      <c r="Q22" s="112">
        <f t="shared" si="0"/>
        <v>0</v>
      </c>
    </row>
    <row r="23" spans="1:17" x14ac:dyDescent="0.15">
      <c r="A23" s="285"/>
      <c r="B23" s="286"/>
      <c r="C23" s="154" t="s">
        <v>2</v>
      </c>
      <c r="D23" s="98" t="s">
        <v>0</v>
      </c>
      <c r="E23" s="111">
        <f>('EST_LEI 9478'!E23*0.2)/0.225</f>
        <v>0</v>
      </c>
      <c r="F23" s="111">
        <f>('EST_LEI 9478'!F23*0.2)/0.225</f>
        <v>0</v>
      </c>
      <c r="G23" s="111">
        <f>('EST_LEI 9478'!G23*0.2)/0.225</f>
        <v>0</v>
      </c>
      <c r="H23" s="111">
        <f>('EST_LEI 9478'!H23*0.2)/0.225</f>
        <v>0</v>
      </c>
      <c r="I23" s="111">
        <f>('EST_LEI 9478'!I23*0.2)/0.225</f>
        <v>0</v>
      </c>
      <c r="J23" s="111">
        <f>('EST_LEI 9478'!J23*0.2)/0.225</f>
        <v>0</v>
      </c>
      <c r="K23" s="111">
        <f>('EST_LEI 9478'!K23*0.2)/0.225</f>
        <v>0</v>
      </c>
      <c r="L23" s="111">
        <f>('EST_LEI 9478'!L23*0.2)/0.225</f>
        <v>0</v>
      </c>
      <c r="M23" s="111">
        <f>('EST_LEI 9478'!M23*0.2)/0.225</f>
        <v>0</v>
      </c>
      <c r="N23" s="111">
        <f>('EST_LEI 9478'!N23*0.2)/0.225</f>
        <v>0</v>
      </c>
      <c r="O23" s="111">
        <f>('EST_LEI 9478'!O23*0.2)/0.225</f>
        <v>0</v>
      </c>
      <c r="P23" s="111">
        <f>('EST_LEI 9478'!P23*0.2)/0.225</f>
        <v>0</v>
      </c>
      <c r="Q23" s="112">
        <f t="shared" si="0"/>
        <v>0</v>
      </c>
    </row>
    <row r="24" spans="1:17" x14ac:dyDescent="0.15">
      <c r="A24" s="285"/>
      <c r="B24" s="286" t="s">
        <v>5</v>
      </c>
      <c r="C24" s="155">
        <v>0.05</v>
      </c>
      <c r="D24" s="98" t="s">
        <v>6</v>
      </c>
      <c r="E24" s="111">
        <f>'EST_LEI 9478'!E24</f>
        <v>3143239.27</v>
      </c>
      <c r="F24" s="111">
        <f>'EST_LEI 9478'!F24</f>
        <v>3138181.61</v>
      </c>
      <c r="G24" s="111">
        <f>'EST_LEI 9478'!G24</f>
        <v>3206638.71</v>
      </c>
      <c r="H24" s="111">
        <f>'EST_LEI 9478'!H24</f>
        <v>59442.67</v>
      </c>
      <c r="I24" s="111">
        <f>'EST_LEI 9478'!I24</f>
        <v>2610.09</v>
      </c>
      <c r="J24" s="111">
        <f>'EST_LEI 9478'!J24</f>
        <v>215997.53</v>
      </c>
      <c r="K24" s="111">
        <f>'EST_LEI 9478'!K24</f>
        <v>35377.4</v>
      </c>
      <c r="L24" s="111">
        <f>'EST_LEI 9478'!L24</f>
        <v>2867798.28</v>
      </c>
      <c r="M24" s="111">
        <f>'EST_LEI 9478'!M24</f>
        <v>3834945.2</v>
      </c>
      <c r="N24" s="111">
        <f>'EST_LEI 9478'!N24</f>
        <v>4069666.9</v>
      </c>
      <c r="O24" s="111">
        <f>'EST_LEI 9478'!O24</f>
        <v>4283857.47</v>
      </c>
      <c r="P24" s="111">
        <f>'EST_LEI 9478'!P24</f>
        <v>3791689.75</v>
      </c>
      <c r="Q24" s="112">
        <f t="shared" si="0"/>
        <v>28649444.879999995</v>
      </c>
    </row>
    <row r="25" spans="1:17" x14ac:dyDescent="0.15">
      <c r="A25" s="285"/>
      <c r="B25" s="286"/>
      <c r="C25" s="154" t="s">
        <v>2</v>
      </c>
      <c r="D25" s="98" t="s">
        <v>6</v>
      </c>
      <c r="E25" s="111">
        <f>'EST_LEI 9478'!E25</f>
        <v>2357429.4500000002</v>
      </c>
      <c r="F25" s="111">
        <f>'EST_LEI 9478'!F25</f>
        <v>2353636.21</v>
      </c>
      <c r="G25" s="111">
        <f>'EST_LEI 9478'!G25</f>
        <v>2404979.0299999998</v>
      </c>
      <c r="H25" s="111">
        <f>'EST_LEI 9478'!H25</f>
        <v>44582</v>
      </c>
      <c r="I25" s="111">
        <f>'EST_LEI 9478'!I25</f>
        <v>1957.56</v>
      </c>
      <c r="J25" s="111">
        <f>'EST_LEI 9478'!J25</f>
        <v>161998.15</v>
      </c>
      <c r="K25" s="111">
        <f>'EST_LEI 9478'!K25</f>
        <v>26533.05</v>
      </c>
      <c r="L25" s="111">
        <f>'EST_LEI 9478'!L25</f>
        <v>2150848.71</v>
      </c>
      <c r="M25" s="111">
        <f>'EST_LEI 9478'!M25</f>
        <v>2876208.9</v>
      </c>
      <c r="N25" s="111">
        <f>'EST_LEI 9478'!N25</f>
        <v>3052250.17</v>
      </c>
      <c r="O25" s="111">
        <f>'EST_LEI 9478'!O25</f>
        <v>3212893.1</v>
      </c>
      <c r="P25" s="111">
        <f>'EST_LEI 9478'!P25</f>
        <v>2843767.31</v>
      </c>
      <c r="Q25" s="112">
        <f t="shared" si="0"/>
        <v>21487083.640000001</v>
      </c>
    </row>
    <row r="26" spans="1:17" x14ac:dyDescent="0.15">
      <c r="A26" s="285" t="s">
        <v>18</v>
      </c>
      <c r="B26" s="286" t="s">
        <v>3</v>
      </c>
      <c r="C26" s="155">
        <v>0.05</v>
      </c>
      <c r="D26" s="98" t="s">
        <v>0</v>
      </c>
      <c r="E26" s="111">
        <f>('EST_LEI 9478'!E26*0.2)/0.3</f>
        <v>387843.7466666667</v>
      </c>
      <c r="F26" s="111">
        <f>('EST_LEI 9478'!F26*0.2)/0.3</f>
        <v>434748.4933333334</v>
      </c>
      <c r="G26" s="111">
        <f>('EST_LEI 9478'!G26*0.2)/0.3</f>
        <v>382784.50666666671</v>
      </c>
      <c r="H26" s="111">
        <f>('EST_LEI 9478'!H26*0.2)/0.3</f>
        <v>343268.00666666671</v>
      </c>
      <c r="I26" s="111">
        <f>('EST_LEI 9478'!I26*0.2)/0.3</f>
        <v>341402.12666666671</v>
      </c>
      <c r="J26" s="111">
        <f>('EST_LEI 9478'!J26*0.2)/0.3</f>
        <v>349992.56</v>
      </c>
      <c r="K26" s="111">
        <f>('EST_LEI 9478'!K26*0.2)/0.3</f>
        <v>401429.52666666673</v>
      </c>
      <c r="L26" s="111">
        <f>('EST_LEI 9478'!L26*0.2)/0.3</f>
        <v>475822.16000000009</v>
      </c>
      <c r="M26" s="111">
        <f>('EST_LEI 9478'!M26*0.2)/0.3</f>
        <v>466744.4266666667</v>
      </c>
      <c r="N26" s="111">
        <f>('EST_LEI 9478'!N26*0.2)/0.3</f>
        <v>456375.62666666665</v>
      </c>
      <c r="O26" s="111">
        <f>('EST_LEI 9478'!O26*0.2)/0.3</f>
        <v>476636.38</v>
      </c>
      <c r="P26" s="111">
        <f>('EST_LEI 9478'!P26*0.2)/0.3</f>
        <v>481051.25333333341</v>
      </c>
      <c r="Q26" s="112">
        <f t="shared" si="0"/>
        <v>4998098.8133333344</v>
      </c>
    </row>
    <row r="27" spans="1:17" x14ac:dyDescent="0.15">
      <c r="A27" s="285"/>
      <c r="B27" s="286"/>
      <c r="C27" s="154" t="s">
        <v>2</v>
      </c>
      <c r="D27" s="98" t="s">
        <v>0</v>
      </c>
      <c r="E27" s="111">
        <f>('EST_LEI 9478'!E27*0.2)/0.225</f>
        <v>0</v>
      </c>
      <c r="F27" s="111">
        <f>('EST_LEI 9478'!F27*0.2)/0.225</f>
        <v>0</v>
      </c>
      <c r="G27" s="111">
        <f>('EST_LEI 9478'!G27*0.2)/0.225</f>
        <v>0</v>
      </c>
      <c r="H27" s="111">
        <f>('EST_LEI 9478'!H27*0.2)/0.225</f>
        <v>0</v>
      </c>
      <c r="I27" s="111">
        <f>('EST_LEI 9478'!I27*0.2)/0.225</f>
        <v>0</v>
      </c>
      <c r="J27" s="111">
        <f>('EST_LEI 9478'!J27*0.2)/0.225</f>
        <v>0</v>
      </c>
      <c r="K27" s="111">
        <f>('EST_LEI 9478'!K27*0.2)/0.225</f>
        <v>0</v>
      </c>
      <c r="L27" s="111">
        <f>('EST_LEI 9478'!L27*0.2)/0.225</f>
        <v>0</v>
      </c>
      <c r="M27" s="111">
        <f>('EST_LEI 9478'!M27*0.2)/0.225</f>
        <v>0</v>
      </c>
      <c r="N27" s="111">
        <f>('EST_LEI 9478'!N27*0.2)/0.225</f>
        <v>0</v>
      </c>
      <c r="O27" s="111">
        <f>('EST_LEI 9478'!O27*0.2)/0.225</f>
        <v>0</v>
      </c>
      <c r="P27" s="111">
        <f>('EST_LEI 9478'!P27*0.2)/0.225</f>
        <v>0</v>
      </c>
      <c r="Q27" s="112">
        <f t="shared" si="0"/>
        <v>0</v>
      </c>
    </row>
    <row r="28" spans="1:17" x14ac:dyDescent="0.15">
      <c r="A28" s="285"/>
      <c r="B28" s="286" t="s">
        <v>5</v>
      </c>
      <c r="C28" s="155">
        <v>0.05</v>
      </c>
      <c r="D28" s="98" t="s">
        <v>6</v>
      </c>
      <c r="E28" s="111">
        <f>'EST_LEI 9478'!E28</f>
        <v>0</v>
      </c>
      <c r="F28" s="111">
        <f>'EST_LEI 9478'!F28</f>
        <v>0</v>
      </c>
      <c r="G28" s="111">
        <f>'EST_LEI 9478'!G28</f>
        <v>0</v>
      </c>
      <c r="H28" s="111">
        <f>'EST_LEI 9478'!H28</f>
        <v>0</v>
      </c>
      <c r="I28" s="111">
        <f>'EST_LEI 9478'!I28</f>
        <v>0</v>
      </c>
      <c r="J28" s="111">
        <f>'EST_LEI 9478'!J28</f>
        <v>0</v>
      </c>
      <c r="K28" s="111">
        <f>'EST_LEI 9478'!K28</f>
        <v>0</v>
      </c>
      <c r="L28" s="111">
        <f>'EST_LEI 9478'!L28</f>
        <v>0</v>
      </c>
      <c r="M28" s="111">
        <f>'EST_LEI 9478'!M28</f>
        <v>0</v>
      </c>
      <c r="N28" s="111">
        <f>'EST_LEI 9478'!N28</f>
        <v>0</v>
      </c>
      <c r="O28" s="111">
        <f>'EST_LEI 9478'!O28</f>
        <v>0</v>
      </c>
      <c r="P28" s="111">
        <f>'EST_LEI 9478'!P28</f>
        <v>0</v>
      </c>
      <c r="Q28" s="112">
        <f t="shared" si="0"/>
        <v>0</v>
      </c>
    </row>
    <row r="29" spans="1:17" x14ac:dyDescent="0.15">
      <c r="A29" s="285"/>
      <c r="B29" s="286"/>
      <c r="C29" s="154" t="s">
        <v>2</v>
      </c>
      <c r="D29" s="98" t="s">
        <v>6</v>
      </c>
      <c r="E29" s="111">
        <f>'EST_LEI 9478'!E29</f>
        <v>0</v>
      </c>
      <c r="F29" s="111">
        <f>'EST_LEI 9478'!F29</f>
        <v>0</v>
      </c>
      <c r="G29" s="111">
        <f>'EST_LEI 9478'!G29</f>
        <v>0</v>
      </c>
      <c r="H29" s="111">
        <f>'EST_LEI 9478'!H29</f>
        <v>0</v>
      </c>
      <c r="I29" s="111">
        <f>'EST_LEI 9478'!I29</f>
        <v>0</v>
      </c>
      <c r="J29" s="111">
        <f>'EST_LEI 9478'!J29</f>
        <v>0</v>
      </c>
      <c r="K29" s="111">
        <f>'EST_LEI 9478'!K29</f>
        <v>0</v>
      </c>
      <c r="L29" s="111">
        <f>'EST_LEI 9478'!L29</f>
        <v>0</v>
      </c>
      <c r="M29" s="111">
        <f>'EST_LEI 9478'!M29</f>
        <v>0</v>
      </c>
      <c r="N29" s="111">
        <f>'EST_LEI 9478'!N29</f>
        <v>0</v>
      </c>
      <c r="O29" s="111">
        <f>'EST_LEI 9478'!O29</f>
        <v>0</v>
      </c>
      <c r="P29" s="111">
        <f>'EST_LEI 9478'!P29</f>
        <v>0</v>
      </c>
      <c r="Q29" s="112">
        <f t="shared" si="0"/>
        <v>0</v>
      </c>
    </row>
    <row r="30" spans="1:17" x14ac:dyDescent="0.15">
      <c r="A30" s="285" t="s">
        <v>19</v>
      </c>
      <c r="B30" s="286" t="s">
        <v>3</v>
      </c>
      <c r="C30" s="155">
        <v>0.05</v>
      </c>
      <c r="D30" s="98" t="s">
        <v>0</v>
      </c>
      <c r="E30" s="111">
        <f>('EST_LEI 9478'!E30*0.2)/0.3</f>
        <v>107051080.61999999</v>
      </c>
      <c r="F30" s="111">
        <f>('EST_LEI 9478'!F30*0.2)/0.3</f>
        <v>109087485.68666665</v>
      </c>
      <c r="G30" s="111">
        <f>('EST_LEI 9478'!G30*0.2)/0.3</f>
        <v>117771939.01333332</v>
      </c>
      <c r="H30" s="111">
        <f>('EST_LEI 9478'!H30*0.2)/0.3</f>
        <v>100346798.36000001</v>
      </c>
      <c r="I30" s="111">
        <f>('EST_LEI 9478'!I30*0.2)/0.3</f>
        <v>110417128.58000001</v>
      </c>
      <c r="J30" s="111">
        <f>('EST_LEI 9478'!J30*0.2)/0.3</f>
        <v>124201252.56</v>
      </c>
      <c r="K30" s="111">
        <f>('EST_LEI 9478'!K30*0.2)/0.3</f>
        <v>146886631.84666669</v>
      </c>
      <c r="L30" s="111">
        <f>('EST_LEI 9478'!L30*0.2)/0.3</f>
        <v>144015753.2466667</v>
      </c>
      <c r="M30" s="111">
        <f>('EST_LEI 9478'!M30*0.2)/0.3</f>
        <v>151965739.82000002</v>
      </c>
      <c r="N30" s="111">
        <f>('EST_LEI 9478'!N30*0.2)/0.3</f>
        <v>141296500.98000002</v>
      </c>
      <c r="O30" s="111">
        <f>('EST_LEI 9478'!O30*0.2)/0.3</f>
        <v>182152389.22239673</v>
      </c>
      <c r="P30" s="111">
        <f>('EST_LEI 9478'!P30*0.2)/0.3</f>
        <v>167396249.29400003</v>
      </c>
      <c r="Q30" s="112">
        <f t="shared" si="0"/>
        <v>1602588949.2297301</v>
      </c>
    </row>
    <row r="31" spans="1:17" x14ac:dyDescent="0.15">
      <c r="A31" s="285"/>
      <c r="B31" s="286"/>
      <c r="C31" s="154" t="s">
        <v>2</v>
      </c>
      <c r="D31" s="98" t="s">
        <v>0</v>
      </c>
      <c r="E31" s="111">
        <f>('EST_LEI 9478'!E31*0.2)/0.225</f>
        <v>104671797.82222225</v>
      </c>
      <c r="F31" s="111">
        <f>('EST_LEI 9478'!F31*0.2)/0.225</f>
        <v>106557613.36</v>
      </c>
      <c r="G31" s="111">
        <f>('EST_LEI 9478'!G31*0.2)/0.225</f>
        <v>115241651.56444445</v>
      </c>
      <c r="H31" s="111">
        <f>('EST_LEI 9478'!H31*0.2)/0.225</f>
        <v>98280767.608888894</v>
      </c>
      <c r="I31" s="111">
        <f>('EST_LEI 9478'!I31*0.2)/0.225</f>
        <v>108038189.03111112</v>
      </c>
      <c r="J31" s="111">
        <f>('EST_LEI 9478'!J31*0.2)/0.225</f>
        <v>121680865.41333334</v>
      </c>
      <c r="K31" s="111">
        <f>('EST_LEI 9478'!K31*0.2)/0.225</f>
        <v>143798433.30666667</v>
      </c>
      <c r="L31" s="111">
        <f>('EST_LEI 9478'!L31*0.2)/0.225</f>
        <v>140848006.49777782</v>
      </c>
      <c r="M31" s="111">
        <f>('EST_LEI 9478'!M31*0.2)/0.225</f>
        <v>148944178.12444445</v>
      </c>
      <c r="N31" s="111">
        <f>('EST_LEI 9478'!N31*0.2)/0.225</f>
        <v>138323539.53777775</v>
      </c>
      <c r="O31" s="111">
        <f>('EST_LEI 9478'!O31*0.2)/0.225</f>
        <v>203186525.62915879</v>
      </c>
      <c r="P31" s="111">
        <f>('EST_LEI 9478'!P31*0.2)/0.225</f>
        <v>164153596.9771111</v>
      </c>
      <c r="Q31" s="112">
        <f t="shared" si="0"/>
        <v>1593725164.8729362</v>
      </c>
    </row>
    <row r="32" spans="1:17" x14ac:dyDescent="0.15">
      <c r="A32" s="285"/>
      <c r="B32" s="286" t="s">
        <v>5</v>
      </c>
      <c r="C32" s="155">
        <v>0.05</v>
      </c>
      <c r="D32" s="98" t="s">
        <v>6</v>
      </c>
      <c r="E32" s="111">
        <f>'EST_LEI 9478'!E32</f>
        <v>0</v>
      </c>
      <c r="F32" s="111">
        <f>'EST_LEI 9478'!F32</f>
        <v>0</v>
      </c>
      <c r="G32" s="111">
        <f>'EST_LEI 9478'!G32</f>
        <v>0</v>
      </c>
      <c r="H32" s="111">
        <f>'EST_LEI 9478'!H32</f>
        <v>0</v>
      </c>
      <c r="I32" s="111">
        <f>'EST_LEI 9478'!I32</f>
        <v>0</v>
      </c>
      <c r="J32" s="111">
        <f>'EST_LEI 9478'!J32</f>
        <v>0</v>
      </c>
      <c r="K32" s="111">
        <f>'EST_LEI 9478'!K32</f>
        <v>0</v>
      </c>
      <c r="L32" s="111">
        <f>'EST_LEI 9478'!L32</f>
        <v>0</v>
      </c>
      <c r="M32" s="111">
        <f>'EST_LEI 9478'!M32</f>
        <v>0</v>
      </c>
      <c r="N32" s="111">
        <f>'EST_LEI 9478'!N32</f>
        <v>0</v>
      </c>
      <c r="O32" s="111">
        <f>'EST_LEI 9478'!O32</f>
        <v>0</v>
      </c>
      <c r="P32" s="111">
        <f>'EST_LEI 9478'!P32</f>
        <v>0</v>
      </c>
      <c r="Q32" s="112">
        <f t="shared" si="0"/>
        <v>0</v>
      </c>
    </row>
    <row r="33" spans="1:17" x14ac:dyDescent="0.15">
      <c r="A33" s="285"/>
      <c r="B33" s="286"/>
      <c r="C33" s="154" t="s">
        <v>2</v>
      </c>
      <c r="D33" s="98" t="s">
        <v>6</v>
      </c>
      <c r="E33" s="111">
        <f>'EST_LEI 9478'!E33</f>
        <v>0</v>
      </c>
      <c r="F33" s="111">
        <f>'EST_LEI 9478'!F33</f>
        <v>0</v>
      </c>
      <c r="G33" s="111">
        <f>'EST_LEI 9478'!G33</f>
        <v>0</v>
      </c>
      <c r="H33" s="111">
        <f>'EST_LEI 9478'!H33</f>
        <v>0</v>
      </c>
      <c r="I33" s="111">
        <f>'EST_LEI 9478'!I33</f>
        <v>0</v>
      </c>
      <c r="J33" s="111">
        <f>'EST_LEI 9478'!J33</f>
        <v>0</v>
      </c>
      <c r="K33" s="111">
        <f>'EST_LEI 9478'!K33</f>
        <v>0</v>
      </c>
      <c r="L33" s="111">
        <f>'EST_LEI 9478'!L33</f>
        <v>0</v>
      </c>
      <c r="M33" s="111">
        <f>'EST_LEI 9478'!M33</f>
        <v>0</v>
      </c>
      <c r="N33" s="111">
        <f>'EST_LEI 9478'!N33</f>
        <v>0</v>
      </c>
      <c r="O33" s="111">
        <f>'EST_LEI 9478'!O33</f>
        <v>0</v>
      </c>
      <c r="P33" s="111">
        <f>'EST_LEI 9478'!P33</f>
        <v>0</v>
      </c>
      <c r="Q33" s="112">
        <f t="shared" si="0"/>
        <v>0</v>
      </c>
    </row>
    <row r="34" spans="1:17" x14ac:dyDescent="0.15">
      <c r="A34" s="285" t="s">
        <v>24</v>
      </c>
      <c r="B34" s="286" t="s">
        <v>3</v>
      </c>
      <c r="C34" s="155">
        <v>0.05</v>
      </c>
      <c r="D34" s="98" t="s">
        <v>0</v>
      </c>
      <c r="E34" s="111">
        <f>('EST_LEI 9478'!E34*0.2)/0.3</f>
        <v>380959.58255886007</v>
      </c>
      <c r="F34" s="111">
        <f>('EST_LEI 9478'!F34*0.2)/0.3</f>
        <v>405183.01479015988</v>
      </c>
      <c r="G34" s="111">
        <f>('EST_LEI 9478'!G34*0.2)/0.3</f>
        <v>420409.99374652334</v>
      </c>
      <c r="H34" s="111">
        <f>('EST_LEI 9478'!H34*0.2)/0.3</f>
        <v>359666.18605118385</v>
      </c>
      <c r="I34" s="111">
        <f>('EST_LEI 9478'!I34*0.2)/0.3</f>
        <v>418324.54474522563</v>
      </c>
      <c r="J34" s="111">
        <f>('EST_LEI 9478'!J34*0.2)/0.3</f>
        <v>445383.66648893844</v>
      </c>
      <c r="K34" s="111">
        <f>('EST_LEI 9478'!K34*0.2)/0.3</f>
        <v>528843.71600000001</v>
      </c>
      <c r="L34" s="111">
        <f>('EST_LEI 9478'!L34*0.2)/0.3</f>
        <v>505874.96799999994</v>
      </c>
      <c r="M34" s="111">
        <f>('EST_LEI 9478'!M34*0.2)/0.3</f>
        <v>456787.05200000008</v>
      </c>
      <c r="N34" s="111">
        <f>('EST_LEI 9478'!N34*0.2)/0.3</f>
        <v>424173.02000000008</v>
      </c>
      <c r="O34" s="111">
        <f>('EST_LEI 9478'!O34*0.2)/0.3</f>
        <v>476913.03600000008</v>
      </c>
      <c r="P34" s="111">
        <f>('EST_LEI 9478'!P34*0.2)/0.3</f>
        <v>480239.41200000001</v>
      </c>
      <c r="Q34" s="112">
        <f t="shared" si="0"/>
        <v>5302758.1923808921</v>
      </c>
    </row>
    <row r="35" spans="1:17" x14ac:dyDescent="0.15">
      <c r="A35" s="285"/>
      <c r="B35" s="286"/>
      <c r="C35" s="154" t="s">
        <v>2</v>
      </c>
      <c r="D35" s="98" t="s">
        <v>0</v>
      </c>
      <c r="E35" s="111">
        <f>('EST_LEI 9478'!E35*0.2)/0.225</f>
        <v>356928.89399292803</v>
      </c>
      <c r="F35" s="111">
        <f>('EST_LEI 9478'!F35*0.2)/0.225</f>
        <v>380187.25674405467</v>
      </c>
      <c r="G35" s="111">
        <f>('EST_LEI 9478'!G35*0.2)/0.225</f>
        <v>395016.49201198027</v>
      </c>
      <c r="H35" s="111">
        <f>('EST_LEI 9478'!H35*0.2)/0.225</f>
        <v>338619.57327113458</v>
      </c>
      <c r="I35" s="111">
        <f>('EST_LEI 9478'!I35*0.2)/0.225</f>
        <v>394796.97158151655</v>
      </c>
      <c r="J35" s="111">
        <f>('EST_LEI 9478'!J35*0.2)/0.225</f>
        <v>422160.27502422995</v>
      </c>
      <c r="K35" s="111">
        <f>('EST_LEI 9478'!K35*0.2)/0.225</f>
        <v>500665.55799999996</v>
      </c>
      <c r="L35" s="111">
        <f>('EST_LEI 9478'!L35*0.2)/0.225</f>
        <v>481537.16399999999</v>
      </c>
      <c r="M35" s="111">
        <f>('EST_LEI 9478'!M35*0.2)/0.225</f>
        <v>432795.23600000009</v>
      </c>
      <c r="N35" s="111">
        <f>('EST_LEI 9478'!N35*0.2)/0.225</f>
        <v>400493.50400000007</v>
      </c>
      <c r="O35" s="111">
        <f>('EST_LEI 9478'!O35*0.2)/0.225</f>
        <v>451444.32999999996</v>
      </c>
      <c r="P35" s="111">
        <f>('EST_LEI 9478'!P35*0.2)/0.225</f>
        <v>454956.054</v>
      </c>
      <c r="Q35" s="112">
        <f t="shared" si="0"/>
        <v>5009601.3086258452</v>
      </c>
    </row>
    <row r="36" spans="1:17" x14ac:dyDescent="0.15">
      <c r="A36" s="285"/>
      <c r="B36" s="286" t="s">
        <v>5</v>
      </c>
      <c r="C36" s="155">
        <v>0.05</v>
      </c>
      <c r="D36" s="98" t="s">
        <v>6</v>
      </c>
      <c r="E36" s="111">
        <f>'EST_LEI 9478'!E36</f>
        <v>7249740.9161617104</v>
      </c>
      <c r="F36" s="111">
        <f>'EST_LEI 9478'!F36</f>
        <v>7600023.2178147603</v>
      </c>
      <c r="G36" s="111">
        <f>'EST_LEI 9478'!G36</f>
        <v>8104410.3993802154</v>
      </c>
      <c r="H36" s="111">
        <f>'EST_LEI 9478'!H36</f>
        <v>6883001.0009232238</v>
      </c>
      <c r="I36" s="111">
        <f>'EST_LEI 9478'!I36</f>
        <v>7608116.6228821622</v>
      </c>
      <c r="J36" s="111">
        <f>'EST_LEI 9478'!J36</f>
        <v>8187002.3002665909</v>
      </c>
      <c r="K36" s="111">
        <f>'EST_LEI 9478'!K36</f>
        <v>9643860.6460000016</v>
      </c>
      <c r="L36" s="111">
        <f>'EST_LEI 9478'!L36</f>
        <v>9539097.7180000003</v>
      </c>
      <c r="M36" s="111">
        <f>'EST_LEI 9478'!M36</f>
        <v>10141564.512</v>
      </c>
      <c r="N36" s="111">
        <f>'EST_LEI 9478'!N36</f>
        <v>9304114.0500000007</v>
      </c>
      <c r="O36" s="111">
        <f>'EST_LEI 9478'!O36</f>
        <v>10803920.156000001</v>
      </c>
      <c r="P36" s="111">
        <f>'EST_LEI 9478'!P36</f>
        <v>10832932.171999998</v>
      </c>
      <c r="Q36" s="112">
        <f t="shared" si="0"/>
        <v>105897783.71142867</v>
      </c>
    </row>
    <row r="37" spans="1:17" x14ac:dyDescent="0.15">
      <c r="A37" s="285"/>
      <c r="B37" s="286"/>
      <c r="C37" s="154" t="s">
        <v>2</v>
      </c>
      <c r="D37" s="98" t="s">
        <v>6</v>
      </c>
      <c r="E37" s="111">
        <f>'EST_LEI 9478'!E37</f>
        <v>4603089.0642579561</v>
      </c>
      <c r="F37" s="111">
        <f>'EST_LEI 9478'!F37</f>
        <v>4831133.1261629388</v>
      </c>
      <c r="G37" s="111">
        <f>'EST_LEI 9478'!G37</f>
        <v>5130849.1364865219</v>
      </c>
      <c r="H37" s="111">
        <f>'EST_LEI 9478'!H37</f>
        <v>4347906.3100699736</v>
      </c>
      <c r="I37" s="111">
        <f>'EST_LEI 9478'!I37</f>
        <v>4797506.6169707943</v>
      </c>
      <c r="J37" s="111">
        <f>'EST_LEI 9478'!J37</f>
        <v>5155020.1405977411</v>
      </c>
      <c r="K37" s="111">
        <f>'EST_LEI 9478'!K37</f>
        <v>6067275.7672499996</v>
      </c>
      <c r="L37" s="111">
        <f>'EST_LEI 9478'!L37</f>
        <v>5964797.5704999994</v>
      </c>
      <c r="M37" s="111">
        <f>'EST_LEI 9478'!M37</f>
        <v>6328882.9994999999</v>
      </c>
      <c r="N37" s="111">
        <f>'EST_LEI 9478'!N37</f>
        <v>5879648.938000001</v>
      </c>
      <c r="O37" s="111">
        <f>'EST_LEI 9478'!O37</f>
        <v>6811205.4187500002</v>
      </c>
      <c r="P37" s="111">
        <f>'EST_LEI 9478'!P37</f>
        <v>6808056.38925</v>
      </c>
      <c r="Q37" s="112">
        <f t="shared" si="0"/>
        <v>66725371.477795936</v>
      </c>
    </row>
    <row r="38" spans="1:17" x14ac:dyDescent="0.15">
      <c r="A38" s="285" t="s">
        <v>25</v>
      </c>
      <c r="B38" s="286" t="s">
        <v>3</v>
      </c>
      <c r="C38" s="155">
        <v>0.05</v>
      </c>
      <c r="D38" s="98" t="s">
        <v>0</v>
      </c>
      <c r="E38" s="111">
        <f>('EST_LEI 9478'!E38*0.2)/0.3</f>
        <v>473114.24201829737</v>
      </c>
      <c r="F38" s="111">
        <f>('EST_LEI 9478'!F38*0.2)/0.3</f>
        <v>502205.7184337583</v>
      </c>
      <c r="G38" s="111">
        <f>('EST_LEI 9478'!G38*0.2)/0.3</f>
        <v>522032.36314498034</v>
      </c>
      <c r="H38" s="111">
        <f>('EST_LEI 9478'!H38*0.2)/0.3</f>
        <v>421634.67944992147</v>
      </c>
      <c r="I38" s="111">
        <f>('EST_LEI 9478'!I38*0.2)/0.3</f>
        <v>440153.43018768239</v>
      </c>
      <c r="J38" s="111">
        <f>('EST_LEI 9478'!J38*0.2)/0.3</f>
        <v>395747.61639425682</v>
      </c>
      <c r="K38" s="111">
        <f>('EST_LEI 9478'!K38*0.2)/0.3</f>
        <v>573727.33800000011</v>
      </c>
      <c r="L38" s="111">
        <f>('EST_LEI 9478'!L38*0.2)/0.3</f>
        <v>551882.95400000003</v>
      </c>
      <c r="M38" s="111">
        <f>('EST_LEI 9478'!M38*0.2)/0.3</f>
        <v>574910.94400000013</v>
      </c>
      <c r="N38" s="111">
        <f>('EST_LEI 9478'!N38*0.2)/0.3</f>
        <v>586090.16200000001</v>
      </c>
      <c r="O38" s="111">
        <f>('EST_LEI 9478'!O38*0.2)/0.3</f>
        <v>629545.53799999994</v>
      </c>
      <c r="P38" s="111">
        <f>('EST_LEI 9478'!P38*0.2)/0.3</f>
        <v>613440.44400000013</v>
      </c>
      <c r="Q38" s="112">
        <f t="shared" si="0"/>
        <v>6284485.4296288965</v>
      </c>
    </row>
    <row r="39" spans="1:17" x14ac:dyDescent="0.15">
      <c r="A39" s="285"/>
      <c r="B39" s="286"/>
      <c r="C39" s="154" t="s">
        <v>2</v>
      </c>
      <c r="D39" s="98" t="s">
        <v>0</v>
      </c>
      <c r="E39" s="111">
        <f>('EST_LEI 9478'!E39*0.2)/0.225</f>
        <v>444809.71090510872</v>
      </c>
      <c r="F39" s="111">
        <f>('EST_LEI 9478'!F39*0.2)/0.225</f>
        <v>470019.58841394697</v>
      </c>
      <c r="G39" s="111">
        <f>('EST_LEI 9478'!G39*0.2)/0.225</f>
        <v>488769.43620185618</v>
      </c>
      <c r="H39" s="111">
        <f>('EST_LEI 9478'!H39*0.2)/0.225</f>
        <v>395502.65180302958</v>
      </c>
      <c r="I39" s="111">
        <f>('EST_LEI 9478'!I39*0.2)/0.225</f>
        <v>410523.61733668239</v>
      </c>
      <c r="J39" s="111">
        <f>('EST_LEI 9478'!J39*0.2)/0.225</f>
        <v>367144.25142156554</v>
      </c>
      <c r="K39" s="111">
        <f>('EST_LEI 9478'!K39*0.2)/0.225</f>
        <v>540719.97799999989</v>
      </c>
      <c r="L39" s="111">
        <f>('EST_LEI 9478'!L39*0.2)/0.225</f>
        <v>517116.31599999993</v>
      </c>
      <c r="M39" s="111">
        <f>('EST_LEI 9478'!M39*0.2)/0.225</f>
        <v>539437.00400000007</v>
      </c>
      <c r="N39" s="111">
        <f>('EST_LEI 9478'!N39*0.2)/0.225</f>
        <v>548595.69799999997</v>
      </c>
      <c r="O39" s="111">
        <f>('EST_LEI 9478'!O39*0.2)/0.225</f>
        <v>589347.52800000005</v>
      </c>
      <c r="P39" s="111">
        <f>('EST_LEI 9478'!P39*0.2)/0.225</f>
        <v>570560.38400000008</v>
      </c>
      <c r="Q39" s="112">
        <f t="shared" si="0"/>
        <v>5882546.16408219</v>
      </c>
    </row>
    <row r="40" spans="1:17" x14ac:dyDescent="0.15">
      <c r="A40" s="285"/>
      <c r="B40" s="286" t="s">
        <v>5</v>
      </c>
      <c r="C40" s="155">
        <v>0.05</v>
      </c>
      <c r="D40" s="98" t="s">
        <v>6</v>
      </c>
      <c r="E40" s="111">
        <f>'EST_LEI 9478'!E40</f>
        <v>3174814.5669725537</v>
      </c>
      <c r="F40" s="111">
        <f>'EST_LEI 9478'!F40</f>
        <v>3331457.7323493627</v>
      </c>
      <c r="G40" s="111">
        <f>'EST_LEI 9478'!G40</f>
        <v>3553229.2352825296</v>
      </c>
      <c r="H40" s="111">
        <f>'EST_LEI 9478'!H40</f>
        <v>2886377.6308251177</v>
      </c>
      <c r="I40" s="111">
        <f>'EST_LEI 9478'!I40</f>
        <v>2956775.6647184766</v>
      </c>
      <c r="J40" s="111">
        <f>'EST_LEI 9478'!J40</f>
        <v>3008554.3754086145</v>
      </c>
      <c r="K40" s="111">
        <f>'EST_LEI 9478'!K40</f>
        <v>3494213.3429999994</v>
      </c>
      <c r="L40" s="111">
        <f>'EST_LEI 9478'!L40</f>
        <v>3464958.7790000001</v>
      </c>
      <c r="M40" s="111">
        <f>'EST_LEI 9478'!M40</f>
        <v>3592613.0039999997</v>
      </c>
      <c r="N40" s="111">
        <f>'EST_LEI 9478'!N40</f>
        <v>3443158.1770000001</v>
      </c>
      <c r="O40" s="111">
        <f>'EST_LEI 9478'!O40</f>
        <v>3651439.0829999996</v>
      </c>
      <c r="P40" s="111">
        <f>'EST_LEI 9478'!P40</f>
        <v>3558288.3839999996</v>
      </c>
      <c r="Q40" s="112">
        <f t="shared" si="0"/>
        <v>40115879.975556657</v>
      </c>
    </row>
    <row r="41" spans="1:17" x14ac:dyDescent="0.15">
      <c r="A41" s="285"/>
      <c r="B41" s="286"/>
      <c r="C41" s="154" t="s">
        <v>2</v>
      </c>
      <c r="D41" s="98" t="s">
        <v>6</v>
      </c>
      <c r="E41" s="111">
        <f>'EST_LEI 9478'!E41</f>
        <v>2244403.4052317529</v>
      </c>
      <c r="F41" s="111">
        <f>'EST_LEI 9478'!F41</f>
        <v>2357195.0430343095</v>
      </c>
      <c r="G41" s="111">
        <f>'EST_LEI 9478'!G41</f>
        <v>2519039.5142729115</v>
      </c>
      <c r="H41" s="111">
        <f>'EST_LEI 9478'!H41</f>
        <v>2051093.2467215918</v>
      </c>
      <c r="I41" s="111">
        <f>'EST_LEI 9478'!I41</f>
        <v>2099945.6404962325</v>
      </c>
      <c r="J41" s="111">
        <f>'EST_LEI 9478'!J41</f>
        <v>2129546.9771507387</v>
      </c>
      <c r="K41" s="111">
        <f>'EST_LEI 9478'!K41</f>
        <v>2460949.9747500001</v>
      </c>
      <c r="L41" s="111">
        <f>'EST_LEI 9478'!L41</f>
        <v>2434403.1545000002</v>
      </c>
      <c r="M41" s="111">
        <f>'EST_LEI 9478'!M41</f>
        <v>2530597.0904999999</v>
      </c>
      <c r="N41" s="111">
        <f>'EST_LEI 9478'!N41</f>
        <v>2419814.5697499998</v>
      </c>
      <c r="O41" s="111">
        <f>'EST_LEI 9478'!O41</f>
        <v>2562520.8709999998</v>
      </c>
      <c r="P41" s="111">
        <f>'EST_LEI 9478'!P41</f>
        <v>2490953.4279999998</v>
      </c>
      <c r="Q41" s="112">
        <f t="shared" si="0"/>
        <v>28300462.915407538</v>
      </c>
    </row>
    <row r="42" spans="1:17" x14ac:dyDescent="0.15">
      <c r="A42" s="285" t="s">
        <v>22</v>
      </c>
      <c r="B42" s="286" t="s">
        <v>3</v>
      </c>
      <c r="C42" s="155">
        <v>0.05</v>
      </c>
      <c r="D42" s="98" t="s">
        <v>0</v>
      </c>
      <c r="E42" s="111">
        <f>('EST_LEI 9478'!E42*0.2)/0.3</f>
        <v>17600217.640000001</v>
      </c>
      <c r="F42" s="111">
        <f>('EST_LEI 9478'!F42*0.2)/0.3</f>
        <v>22552974.199999999</v>
      </c>
      <c r="G42" s="111">
        <f>('EST_LEI 9478'!G42*0.2)/0.3</f>
        <v>23465612.159999996</v>
      </c>
      <c r="H42" s="111">
        <f>('EST_LEI 9478'!H42*0.2)/0.3</f>
        <v>20087400.473333336</v>
      </c>
      <c r="I42" s="111">
        <f>('EST_LEI 9478'!I42*0.2)/0.3</f>
        <v>21345169.113333337</v>
      </c>
      <c r="J42" s="111">
        <f>('EST_LEI 9478'!J42*0.2)/0.3</f>
        <v>19940015.406666666</v>
      </c>
      <c r="K42" s="111">
        <f>('EST_LEI 9478'!K42*0.2)/0.3</f>
        <v>27253498.740000002</v>
      </c>
      <c r="L42" s="111">
        <f>('EST_LEI 9478'!L42*0.2)/0.3</f>
        <v>26768296.853333335</v>
      </c>
      <c r="M42" s="111">
        <f>('EST_LEI 9478'!M42*0.2)/0.3</f>
        <v>27706586.013333339</v>
      </c>
      <c r="N42" s="111">
        <f>('EST_LEI 9478'!N42*0.2)/0.3</f>
        <v>26843677.433333337</v>
      </c>
      <c r="O42" s="111">
        <f>('EST_LEI 9478'!O42*0.2)/0.3</f>
        <v>30570362.68</v>
      </c>
      <c r="P42" s="111">
        <f>('EST_LEI 9478'!P42*0.2)/0.3</f>
        <v>30956041.300000004</v>
      </c>
      <c r="Q42" s="112">
        <f t="shared" si="0"/>
        <v>295089852.01333338</v>
      </c>
    </row>
    <row r="43" spans="1:17" x14ac:dyDescent="0.15">
      <c r="A43" s="285"/>
      <c r="B43" s="286"/>
      <c r="C43" s="154" t="s">
        <v>2</v>
      </c>
      <c r="D43" s="98" t="s">
        <v>0</v>
      </c>
      <c r="E43" s="111">
        <f>('EST_LEI 9478'!E43*0.2)/0.225</f>
        <v>17162733.84</v>
      </c>
      <c r="F43" s="111">
        <f>('EST_LEI 9478'!F43*0.2)/0.225</f>
        <v>22115234.879999999</v>
      </c>
      <c r="G43" s="111">
        <f>('EST_LEI 9478'!G43*0.2)/0.225</f>
        <v>22954595.528888889</v>
      </c>
      <c r="H43" s="111">
        <f>('EST_LEI 9478'!H43*0.2)/0.225</f>
        <v>19717272.071111109</v>
      </c>
      <c r="I43" s="111">
        <f>('EST_LEI 9478'!I43*0.2)/0.225</f>
        <v>20961031.537777778</v>
      </c>
      <c r="J43" s="111">
        <f>('EST_LEI 9478'!J43*0.2)/0.225</f>
        <v>19520005.368888889</v>
      </c>
      <c r="K43" s="111">
        <f>('EST_LEI 9478'!K43*0.2)/0.225</f>
        <v>26854241.493333332</v>
      </c>
      <c r="L43" s="111">
        <f>('EST_LEI 9478'!L43*0.2)/0.225</f>
        <v>26365990</v>
      </c>
      <c r="M43" s="111">
        <f>('EST_LEI 9478'!M43*0.2)/0.225</f>
        <v>27362954.19555556</v>
      </c>
      <c r="N43" s="111">
        <f>('EST_LEI 9478'!N43*0.2)/0.225</f>
        <v>26740188.844444446</v>
      </c>
      <c r="O43" s="111">
        <f>('EST_LEI 9478'!O43*0.2)/0.225</f>
        <v>30227786.782222223</v>
      </c>
      <c r="P43" s="111">
        <f>('EST_LEI 9478'!P43*0.2)/0.225</f>
        <v>30477949.688888885</v>
      </c>
      <c r="Q43" s="112">
        <f t="shared" si="0"/>
        <v>290459984.23111111</v>
      </c>
    </row>
    <row r="44" spans="1:17" x14ac:dyDescent="0.15">
      <c r="A44" s="285"/>
      <c r="B44" s="286" t="s">
        <v>5</v>
      </c>
      <c r="C44" s="155">
        <v>0.05</v>
      </c>
      <c r="D44" s="98" t="s">
        <v>6</v>
      </c>
      <c r="E44" s="111">
        <f>'EST_LEI 9478'!E44</f>
        <v>0</v>
      </c>
      <c r="F44" s="111">
        <f>'EST_LEI 9478'!F44</f>
        <v>0</v>
      </c>
      <c r="G44" s="111">
        <f>'EST_LEI 9478'!G44</f>
        <v>0</v>
      </c>
      <c r="H44" s="111">
        <f>'EST_LEI 9478'!H44</f>
        <v>0</v>
      </c>
      <c r="I44" s="111">
        <f>'EST_LEI 9478'!I44</f>
        <v>0</v>
      </c>
      <c r="J44" s="111">
        <f>'EST_LEI 9478'!J44</f>
        <v>0</v>
      </c>
      <c r="K44" s="111">
        <f>'EST_LEI 9478'!K44</f>
        <v>0</v>
      </c>
      <c r="L44" s="111">
        <f>'EST_LEI 9478'!L44</f>
        <v>0</v>
      </c>
      <c r="M44" s="111">
        <f>'EST_LEI 9478'!M44</f>
        <v>0</v>
      </c>
      <c r="N44" s="111">
        <f>'EST_LEI 9478'!N44</f>
        <v>0</v>
      </c>
      <c r="O44" s="111">
        <f>'EST_LEI 9478'!O44</f>
        <v>0</v>
      </c>
      <c r="P44" s="111">
        <f>'EST_LEI 9478'!P44</f>
        <v>0</v>
      </c>
      <c r="Q44" s="112">
        <f t="shared" si="0"/>
        <v>0</v>
      </c>
    </row>
    <row r="45" spans="1:17" x14ac:dyDescent="0.15">
      <c r="A45" s="285"/>
      <c r="B45" s="286"/>
      <c r="C45" s="154" t="s">
        <v>2</v>
      </c>
      <c r="D45" s="98" t="s">
        <v>6</v>
      </c>
      <c r="E45" s="111">
        <f>'EST_LEI 9478'!E45</f>
        <v>0</v>
      </c>
      <c r="F45" s="111">
        <f>'EST_LEI 9478'!F45</f>
        <v>0</v>
      </c>
      <c r="G45" s="111">
        <f>'EST_LEI 9478'!G45</f>
        <v>0</v>
      </c>
      <c r="H45" s="111">
        <f>'EST_LEI 9478'!H45</f>
        <v>0</v>
      </c>
      <c r="I45" s="111">
        <f>'EST_LEI 9478'!I45</f>
        <v>0</v>
      </c>
      <c r="J45" s="111">
        <f>'EST_LEI 9478'!J45</f>
        <v>0</v>
      </c>
      <c r="K45" s="111">
        <f>'EST_LEI 9478'!K45</f>
        <v>0</v>
      </c>
      <c r="L45" s="111">
        <f>'EST_LEI 9478'!L45</f>
        <v>0</v>
      </c>
      <c r="M45" s="111">
        <f>'EST_LEI 9478'!M45</f>
        <v>0</v>
      </c>
      <c r="N45" s="111">
        <f>'EST_LEI 9478'!N45</f>
        <v>0</v>
      </c>
      <c r="O45" s="111">
        <f>'EST_LEI 9478'!O45</f>
        <v>0</v>
      </c>
      <c r="P45" s="111">
        <f>'EST_LEI 9478'!P45</f>
        <v>0</v>
      </c>
      <c r="Q45" s="112">
        <f t="shared" si="0"/>
        <v>0</v>
      </c>
    </row>
    <row r="46" spans="1:17" x14ac:dyDescent="0.15">
      <c r="A46" s="301" t="s">
        <v>28</v>
      </c>
      <c r="B46" s="302"/>
      <c r="C46" s="302"/>
      <c r="D46" s="303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112">
        <f>SUM(Q2:Q45)</f>
        <v>5204548777.7698669</v>
      </c>
    </row>
    <row r="50" spans="1:10" x14ac:dyDescent="0.15">
      <c r="A50" s="169" t="s">
        <v>76</v>
      </c>
      <c r="B50" s="169" t="s">
        <v>206</v>
      </c>
      <c r="C50" s="169" t="s">
        <v>128</v>
      </c>
      <c r="D50" s="169" t="s">
        <v>207</v>
      </c>
      <c r="E50" s="169" t="s">
        <v>28</v>
      </c>
      <c r="F50" s="169" t="s">
        <v>76</v>
      </c>
      <c r="G50" s="169" t="s">
        <v>206</v>
      </c>
      <c r="H50" s="169" t="s">
        <v>128</v>
      </c>
      <c r="I50" s="169" t="s">
        <v>207</v>
      </c>
      <c r="J50" s="169" t="s">
        <v>28</v>
      </c>
    </row>
    <row r="51" spans="1:10" x14ac:dyDescent="0.15">
      <c r="A51" s="285" t="s">
        <v>4</v>
      </c>
      <c r="B51" s="286" t="s">
        <v>3</v>
      </c>
      <c r="C51" s="155">
        <v>0.05</v>
      </c>
      <c r="D51" s="98" t="s">
        <v>208</v>
      </c>
      <c r="E51" s="82">
        <v>533861.14028568857</v>
      </c>
      <c r="F51" s="285" t="s">
        <v>18</v>
      </c>
      <c r="G51" s="286" t="s">
        <v>3</v>
      </c>
      <c r="H51" s="155">
        <v>0.05</v>
      </c>
      <c r="I51" s="98" t="s">
        <v>208</v>
      </c>
      <c r="J51" s="82">
        <v>4998098.8133333344</v>
      </c>
    </row>
    <row r="52" spans="1:10" x14ac:dyDescent="0.15">
      <c r="A52" s="285"/>
      <c r="B52" s="286"/>
      <c r="C52" s="154" t="s">
        <v>2</v>
      </c>
      <c r="D52" s="98" t="s">
        <v>208</v>
      </c>
      <c r="E52" s="82">
        <v>459120.58036569232</v>
      </c>
      <c r="F52" s="285"/>
      <c r="G52" s="286"/>
      <c r="H52" s="154" t="s">
        <v>2</v>
      </c>
      <c r="I52" s="98" t="s">
        <v>208</v>
      </c>
      <c r="J52" s="82">
        <v>0</v>
      </c>
    </row>
    <row r="53" spans="1:10" x14ac:dyDescent="0.15">
      <c r="A53" s="285"/>
      <c r="B53" s="286" t="s">
        <v>5</v>
      </c>
      <c r="C53" s="155">
        <v>0.05</v>
      </c>
      <c r="D53" s="98" t="s">
        <v>209</v>
      </c>
      <c r="E53" s="82">
        <v>14241274.559571467</v>
      </c>
      <c r="F53" s="285"/>
      <c r="G53" s="286" t="s">
        <v>5</v>
      </c>
      <c r="H53" s="155">
        <v>0.05</v>
      </c>
      <c r="I53" s="98" t="s">
        <v>209</v>
      </c>
      <c r="J53" s="82">
        <v>0</v>
      </c>
    </row>
    <row r="54" spans="1:10" x14ac:dyDescent="0.15">
      <c r="A54" s="285"/>
      <c r="B54" s="286"/>
      <c r="C54" s="154" t="s">
        <v>2</v>
      </c>
      <c r="D54" s="98" t="s">
        <v>209</v>
      </c>
      <c r="E54" s="82">
        <v>9153388.1270885952</v>
      </c>
      <c r="F54" s="285"/>
      <c r="G54" s="286"/>
      <c r="H54" s="154" t="s">
        <v>2</v>
      </c>
      <c r="I54" s="98" t="s">
        <v>209</v>
      </c>
      <c r="J54" s="82">
        <v>0</v>
      </c>
    </row>
    <row r="55" spans="1:10" x14ac:dyDescent="0.15">
      <c r="A55" s="285"/>
      <c r="B55" s="291" t="s">
        <v>28</v>
      </c>
      <c r="C55" s="291"/>
      <c r="D55" s="291"/>
      <c r="E55" s="212">
        <f>SUM(E51:E54)</f>
        <v>24387644.407311443</v>
      </c>
      <c r="F55" s="285"/>
      <c r="G55" s="291" t="s">
        <v>28</v>
      </c>
      <c r="H55" s="291"/>
      <c r="I55" s="291"/>
      <c r="J55" s="212">
        <f>SUM(J51:J54)</f>
        <v>4998098.8133333344</v>
      </c>
    </row>
    <row r="56" spans="1:10" x14ac:dyDescent="0.15">
      <c r="A56" s="285" t="s">
        <v>8</v>
      </c>
      <c r="B56" s="286" t="s">
        <v>3</v>
      </c>
      <c r="C56" s="155">
        <v>0.05</v>
      </c>
      <c r="D56" s="98" t="s">
        <v>208</v>
      </c>
      <c r="E56" s="82">
        <v>0</v>
      </c>
      <c r="F56" s="285" t="s">
        <v>19</v>
      </c>
      <c r="G56" s="286" t="s">
        <v>3</v>
      </c>
      <c r="H56" s="155">
        <v>0.05</v>
      </c>
      <c r="I56" s="98" t="s">
        <v>208</v>
      </c>
      <c r="J56" s="82">
        <v>1602588949.2297301</v>
      </c>
    </row>
    <row r="57" spans="1:10" x14ac:dyDescent="0.15">
      <c r="A57" s="285"/>
      <c r="B57" s="286"/>
      <c r="C57" s="154" t="s">
        <v>2</v>
      </c>
      <c r="D57" s="98" t="s">
        <v>208</v>
      </c>
      <c r="E57" s="82">
        <v>0</v>
      </c>
      <c r="F57" s="285"/>
      <c r="G57" s="286"/>
      <c r="H57" s="154" t="s">
        <v>2</v>
      </c>
      <c r="I57" s="98" t="s">
        <v>208</v>
      </c>
      <c r="J57" s="82">
        <v>1593725164.8729362</v>
      </c>
    </row>
    <row r="58" spans="1:10" x14ac:dyDescent="0.15">
      <c r="A58" s="285"/>
      <c r="B58" s="286" t="s">
        <v>5</v>
      </c>
      <c r="C58" s="155">
        <v>0.05</v>
      </c>
      <c r="D58" s="98" t="s">
        <v>209</v>
      </c>
      <c r="E58" s="82">
        <v>129431137.67999999</v>
      </c>
      <c r="F58" s="285"/>
      <c r="G58" s="286" t="s">
        <v>5</v>
      </c>
      <c r="H58" s="155">
        <v>0.05</v>
      </c>
      <c r="I58" s="98" t="s">
        <v>209</v>
      </c>
      <c r="J58" s="82">
        <v>0</v>
      </c>
    </row>
    <row r="59" spans="1:10" x14ac:dyDescent="0.15">
      <c r="A59" s="285"/>
      <c r="B59" s="286"/>
      <c r="C59" s="154" t="s">
        <v>2</v>
      </c>
      <c r="D59" s="98" t="s">
        <v>209</v>
      </c>
      <c r="E59" s="82">
        <v>92053819.150000006</v>
      </c>
      <c r="F59" s="285"/>
      <c r="G59" s="286"/>
      <c r="H59" s="154" t="s">
        <v>2</v>
      </c>
      <c r="I59" s="98" t="s">
        <v>209</v>
      </c>
      <c r="J59" s="82">
        <v>0</v>
      </c>
    </row>
    <row r="60" spans="1:10" x14ac:dyDescent="0.15">
      <c r="A60" s="285"/>
      <c r="B60" s="291" t="s">
        <v>28</v>
      </c>
      <c r="C60" s="291"/>
      <c r="D60" s="291"/>
      <c r="E60" s="212">
        <f>SUM(E56:E59)</f>
        <v>221484956.82999998</v>
      </c>
      <c r="F60" s="285"/>
      <c r="G60" s="291" t="s">
        <v>28</v>
      </c>
      <c r="H60" s="291"/>
      <c r="I60" s="291"/>
      <c r="J60" s="212">
        <f>SUM(J56:J59)</f>
        <v>3196314114.1026664</v>
      </c>
    </row>
    <row r="61" spans="1:10" x14ac:dyDescent="0.15">
      <c r="A61" s="285" t="s">
        <v>10</v>
      </c>
      <c r="B61" s="286" t="s">
        <v>3</v>
      </c>
      <c r="C61" s="155">
        <v>0.05</v>
      </c>
      <c r="D61" s="98" t="s">
        <v>208</v>
      </c>
      <c r="E61" s="82">
        <v>10930942.889700908</v>
      </c>
      <c r="F61" s="285" t="s">
        <v>24</v>
      </c>
      <c r="G61" s="286" t="s">
        <v>3</v>
      </c>
      <c r="H61" s="155">
        <v>0.05</v>
      </c>
      <c r="I61" s="98" t="s">
        <v>208</v>
      </c>
      <c r="J61" s="82">
        <v>5302758.1923808921</v>
      </c>
    </row>
    <row r="62" spans="1:10" x14ac:dyDescent="0.15">
      <c r="A62" s="285"/>
      <c r="B62" s="286"/>
      <c r="C62" s="154" t="s">
        <v>2</v>
      </c>
      <c r="D62" s="98" t="s">
        <v>208</v>
      </c>
      <c r="E62" s="82">
        <v>5522530.4730161903</v>
      </c>
      <c r="F62" s="285"/>
      <c r="G62" s="286"/>
      <c r="H62" s="154" t="s">
        <v>2</v>
      </c>
      <c r="I62" s="98" t="s">
        <v>208</v>
      </c>
      <c r="J62" s="82">
        <v>5009601.3086258452</v>
      </c>
    </row>
    <row r="63" spans="1:10" x14ac:dyDescent="0.15">
      <c r="A63" s="285"/>
      <c r="B63" s="286" t="s">
        <v>5</v>
      </c>
      <c r="C63" s="155">
        <v>0.05</v>
      </c>
      <c r="D63" s="98" t="s">
        <v>209</v>
      </c>
      <c r="E63" s="82">
        <v>104377181.43544863</v>
      </c>
      <c r="F63" s="285"/>
      <c r="G63" s="286" t="s">
        <v>5</v>
      </c>
      <c r="H63" s="155">
        <v>0.05</v>
      </c>
      <c r="I63" s="98" t="s">
        <v>209</v>
      </c>
      <c r="J63" s="82">
        <v>105897783.71142867</v>
      </c>
    </row>
    <row r="64" spans="1:10" x14ac:dyDescent="0.15">
      <c r="A64" s="285"/>
      <c r="B64" s="286"/>
      <c r="C64" s="154" t="s">
        <v>2</v>
      </c>
      <c r="D64" s="98" t="s">
        <v>209</v>
      </c>
      <c r="E64" s="82">
        <v>66714554.02785679</v>
      </c>
      <c r="F64" s="285"/>
      <c r="G64" s="286"/>
      <c r="H64" s="154" t="s">
        <v>2</v>
      </c>
      <c r="I64" s="98" t="s">
        <v>209</v>
      </c>
      <c r="J64" s="82">
        <v>66725371.477795936</v>
      </c>
    </row>
    <row r="65" spans="1:10" x14ac:dyDescent="0.15">
      <c r="A65" s="285"/>
      <c r="B65" s="291" t="s">
        <v>28</v>
      </c>
      <c r="C65" s="291"/>
      <c r="D65" s="291"/>
      <c r="E65" s="212">
        <f>SUM(E61:E64)</f>
        <v>187545208.82602254</v>
      </c>
      <c r="F65" s="285"/>
      <c r="G65" s="291" t="s">
        <v>28</v>
      </c>
      <c r="H65" s="291"/>
      <c r="I65" s="291"/>
      <c r="J65" s="212">
        <f>SUM(J61:J64)</f>
        <v>182935514.69023135</v>
      </c>
    </row>
    <row r="66" spans="1:10" x14ac:dyDescent="0.15">
      <c r="A66" s="285" t="s">
        <v>11</v>
      </c>
      <c r="B66" s="286" t="s">
        <v>3</v>
      </c>
      <c r="C66" s="155">
        <v>0.05</v>
      </c>
      <c r="D66" s="98" t="s">
        <v>208</v>
      </c>
      <c r="E66" s="82">
        <v>3964563.0181852281</v>
      </c>
      <c r="F66" s="285" t="s">
        <v>25</v>
      </c>
      <c r="G66" s="286" t="s">
        <v>3</v>
      </c>
      <c r="H66" s="155">
        <v>0.05</v>
      </c>
      <c r="I66" s="98" t="s">
        <v>208</v>
      </c>
      <c r="J66" s="82">
        <v>6284485.4296288965</v>
      </c>
    </row>
    <row r="67" spans="1:10" x14ac:dyDescent="0.15">
      <c r="A67" s="285"/>
      <c r="B67" s="286"/>
      <c r="C67" s="154" t="s">
        <v>2</v>
      </c>
      <c r="D67" s="98" t="s">
        <v>208</v>
      </c>
      <c r="E67" s="82">
        <v>3964563.0181852281</v>
      </c>
      <c r="F67" s="285"/>
      <c r="G67" s="286"/>
      <c r="H67" s="154" t="s">
        <v>2</v>
      </c>
      <c r="I67" s="98" t="s">
        <v>208</v>
      </c>
      <c r="J67" s="82">
        <v>5882546.16408219</v>
      </c>
    </row>
    <row r="68" spans="1:10" x14ac:dyDescent="0.15">
      <c r="A68" s="285"/>
      <c r="B68" s="286" t="s">
        <v>5</v>
      </c>
      <c r="C68" s="155">
        <v>0.05</v>
      </c>
      <c r="D68" s="98" t="s">
        <v>209</v>
      </c>
      <c r="E68" s="82">
        <v>2820050.252722159</v>
      </c>
      <c r="F68" s="285"/>
      <c r="G68" s="286" t="s">
        <v>5</v>
      </c>
      <c r="H68" s="155">
        <v>0.05</v>
      </c>
      <c r="I68" s="98" t="s">
        <v>209</v>
      </c>
      <c r="J68" s="82">
        <v>40115879.975556657</v>
      </c>
    </row>
    <row r="69" spans="1:10" x14ac:dyDescent="0.15">
      <c r="A69" s="285"/>
      <c r="B69" s="286"/>
      <c r="C69" s="154" t="s">
        <v>2</v>
      </c>
      <c r="D69" s="98" t="s">
        <v>209</v>
      </c>
      <c r="E69" s="82">
        <v>1186506.7945416188</v>
      </c>
      <c r="F69" s="285"/>
      <c r="G69" s="286"/>
      <c r="H69" s="154" t="s">
        <v>2</v>
      </c>
      <c r="I69" s="98" t="s">
        <v>209</v>
      </c>
      <c r="J69" s="82">
        <v>28300462.915407538</v>
      </c>
    </row>
    <row r="70" spans="1:10" x14ac:dyDescent="0.15">
      <c r="A70" s="285"/>
      <c r="B70" s="291" t="s">
        <v>28</v>
      </c>
      <c r="C70" s="291"/>
      <c r="D70" s="291"/>
      <c r="E70" s="212">
        <f>SUM(E66:E69)</f>
        <v>11935683.083634235</v>
      </c>
      <c r="F70" s="285"/>
      <c r="G70" s="291" t="s">
        <v>28</v>
      </c>
      <c r="H70" s="291"/>
      <c r="I70" s="291"/>
      <c r="J70" s="212">
        <f>SUM(J66:J69)</f>
        <v>80583374.484675288</v>
      </c>
    </row>
    <row r="71" spans="1:10" x14ac:dyDescent="0.15">
      <c r="A71" s="285" t="s">
        <v>12</v>
      </c>
      <c r="B71" s="286" t="s">
        <v>3</v>
      </c>
      <c r="C71" s="155">
        <v>0.05</v>
      </c>
      <c r="D71" s="98" t="s">
        <v>208</v>
      </c>
      <c r="E71" s="82">
        <v>295824331.88277948</v>
      </c>
      <c r="F71" s="285" t="s">
        <v>22</v>
      </c>
      <c r="G71" s="286" t="s">
        <v>3</v>
      </c>
      <c r="H71" s="155">
        <v>0.05</v>
      </c>
      <c r="I71" s="98" t="s">
        <v>208</v>
      </c>
      <c r="J71" s="82">
        <v>295089852.01333338</v>
      </c>
    </row>
    <row r="72" spans="1:10" x14ac:dyDescent="0.15">
      <c r="A72" s="285"/>
      <c r="B72" s="286"/>
      <c r="C72" s="154" t="s">
        <v>2</v>
      </c>
      <c r="D72" s="98" t="s">
        <v>208</v>
      </c>
      <c r="E72" s="82">
        <v>319003926.72850645</v>
      </c>
      <c r="F72" s="285"/>
      <c r="G72" s="286"/>
      <c r="H72" s="154" t="s">
        <v>2</v>
      </c>
      <c r="I72" s="98" t="s">
        <v>208</v>
      </c>
      <c r="J72" s="82">
        <v>290459984.23111111</v>
      </c>
    </row>
    <row r="73" spans="1:10" x14ac:dyDescent="0.15">
      <c r="A73" s="285"/>
      <c r="B73" s="286" t="s">
        <v>5</v>
      </c>
      <c r="C73" s="155">
        <v>0.05</v>
      </c>
      <c r="D73" s="98" t="s">
        <v>209</v>
      </c>
      <c r="E73" s="82">
        <v>27689252.455830801</v>
      </c>
      <c r="F73" s="285"/>
      <c r="G73" s="286" t="s">
        <v>5</v>
      </c>
      <c r="H73" s="155">
        <v>0.05</v>
      </c>
      <c r="I73" s="98" t="s">
        <v>209</v>
      </c>
      <c r="J73" s="82">
        <v>0</v>
      </c>
    </row>
    <row r="74" spans="1:10" x14ac:dyDescent="0.15">
      <c r="A74" s="285"/>
      <c r="B74" s="286"/>
      <c r="C74" s="154" t="s">
        <v>2</v>
      </c>
      <c r="D74" s="98" t="s">
        <v>209</v>
      </c>
      <c r="E74" s="82">
        <v>16160306.700430296</v>
      </c>
      <c r="F74" s="285"/>
      <c r="G74" s="286"/>
      <c r="H74" s="154" t="s">
        <v>2</v>
      </c>
      <c r="I74" s="98" t="s">
        <v>209</v>
      </c>
      <c r="J74" s="82">
        <v>0</v>
      </c>
    </row>
    <row r="75" spans="1:10" x14ac:dyDescent="0.15">
      <c r="A75" s="285"/>
      <c r="B75" s="291" t="s">
        <v>28</v>
      </c>
      <c r="C75" s="291"/>
      <c r="D75" s="291"/>
      <c r="E75" s="212">
        <f>SUM(E71:E74)</f>
        <v>658677817.76754701</v>
      </c>
      <c r="F75" s="285"/>
      <c r="G75" s="291" t="s">
        <v>28</v>
      </c>
      <c r="H75" s="291"/>
      <c r="I75" s="291"/>
      <c r="J75" s="212">
        <f>SUM(J71:J74)</f>
        <v>585549836.24444449</v>
      </c>
    </row>
    <row r="76" spans="1:10" x14ac:dyDescent="0.15">
      <c r="A76" s="295" t="s">
        <v>13</v>
      </c>
      <c r="B76" s="305" t="s">
        <v>3</v>
      </c>
      <c r="C76" s="155">
        <v>0.05</v>
      </c>
      <c r="D76" s="98" t="s">
        <v>208</v>
      </c>
      <c r="E76" s="82">
        <v>0</v>
      </c>
      <c r="F76" s="304"/>
      <c r="G76" s="304"/>
      <c r="H76" s="304"/>
      <c r="I76" s="304"/>
      <c r="J76" s="304"/>
    </row>
    <row r="77" spans="1:10" x14ac:dyDescent="0.15">
      <c r="A77" s="296"/>
      <c r="B77" s="305"/>
      <c r="C77" s="154" t="s">
        <v>2</v>
      </c>
      <c r="D77" s="98" t="s">
        <v>208</v>
      </c>
      <c r="E77" s="82">
        <v>0</v>
      </c>
      <c r="F77" s="304"/>
      <c r="G77" s="304"/>
      <c r="H77" s="304"/>
      <c r="I77" s="304"/>
      <c r="J77" s="304"/>
    </row>
    <row r="78" spans="1:10" x14ac:dyDescent="0.15">
      <c r="A78" s="296"/>
      <c r="B78" s="305" t="s">
        <v>5</v>
      </c>
      <c r="C78" s="155">
        <v>0.05</v>
      </c>
      <c r="D78" s="98" t="s">
        <v>209</v>
      </c>
      <c r="E78" s="82">
        <v>28649444.879999995</v>
      </c>
      <c r="F78" s="304"/>
      <c r="G78" s="304"/>
      <c r="H78" s="304"/>
      <c r="I78" s="304"/>
      <c r="J78" s="304"/>
    </row>
    <row r="79" spans="1:10" x14ac:dyDescent="0.15">
      <c r="A79" s="296"/>
      <c r="B79" s="305"/>
      <c r="C79" s="154" t="s">
        <v>2</v>
      </c>
      <c r="D79" s="98" t="s">
        <v>209</v>
      </c>
      <c r="E79" s="82">
        <v>21487083.640000001</v>
      </c>
      <c r="F79" s="304"/>
      <c r="G79" s="304"/>
      <c r="H79" s="304"/>
      <c r="I79" s="304"/>
      <c r="J79" s="304"/>
    </row>
    <row r="80" spans="1:10" x14ac:dyDescent="0.15">
      <c r="A80" s="297"/>
      <c r="B80" s="291" t="s">
        <v>28</v>
      </c>
      <c r="C80" s="291"/>
      <c r="D80" s="291"/>
      <c r="E80" s="212">
        <f>SUM(E76:E79)</f>
        <v>50136528.519999996</v>
      </c>
      <c r="F80" s="304"/>
      <c r="G80" s="304"/>
      <c r="H80" s="304"/>
      <c r="I80" s="304"/>
      <c r="J80" s="304"/>
    </row>
  </sheetData>
  <mergeCells count="80">
    <mergeCell ref="F71:F75"/>
    <mergeCell ref="G75:I75"/>
    <mergeCell ref="F51:F55"/>
    <mergeCell ref="G55:I55"/>
    <mergeCell ref="A76:A80"/>
    <mergeCell ref="B80:D80"/>
    <mergeCell ref="F76:J80"/>
    <mergeCell ref="B78:B79"/>
    <mergeCell ref="G68:G69"/>
    <mergeCell ref="G71:G72"/>
    <mergeCell ref="G73:G74"/>
    <mergeCell ref="B71:B72"/>
    <mergeCell ref="B73:B74"/>
    <mergeCell ref="B76:B77"/>
    <mergeCell ref="F66:F70"/>
    <mergeCell ref="G70:I70"/>
    <mergeCell ref="A71:A75"/>
    <mergeCell ref="B75:D75"/>
    <mergeCell ref="G51:G52"/>
    <mergeCell ref="G53:G54"/>
    <mergeCell ref="G56:G57"/>
    <mergeCell ref="G58:G59"/>
    <mergeCell ref="G61:G62"/>
    <mergeCell ref="F56:F60"/>
    <mergeCell ref="G60:I60"/>
    <mergeCell ref="A66:A70"/>
    <mergeCell ref="B70:D70"/>
    <mergeCell ref="B63:B64"/>
    <mergeCell ref="B66:B67"/>
    <mergeCell ref="B68:B69"/>
    <mergeCell ref="A61:A65"/>
    <mergeCell ref="B65:D65"/>
    <mergeCell ref="G66:G67"/>
    <mergeCell ref="F61:F65"/>
    <mergeCell ref="G63:G64"/>
    <mergeCell ref="G65:I65"/>
    <mergeCell ref="B56:B57"/>
    <mergeCell ref="B58:B59"/>
    <mergeCell ref="B61:B62"/>
    <mergeCell ref="A56:A60"/>
    <mergeCell ref="B60:D60"/>
    <mergeCell ref="A42:A45"/>
    <mergeCell ref="B42:B43"/>
    <mergeCell ref="B44:B45"/>
    <mergeCell ref="A51:A55"/>
    <mergeCell ref="B55:D55"/>
    <mergeCell ref="A46:D46"/>
    <mergeCell ref="B51:B52"/>
    <mergeCell ref="B53:B54"/>
    <mergeCell ref="A26:A29"/>
    <mergeCell ref="B26:B27"/>
    <mergeCell ref="B28:B29"/>
    <mergeCell ref="A30:A33"/>
    <mergeCell ref="B30:B31"/>
    <mergeCell ref="B32:B33"/>
    <mergeCell ref="A34:A37"/>
    <mergeCell ref="B34:B35"/>
    <mergeCell ref="B36:B37"/>
    <mergeCell ref="A38:A41"/>
    <mergeCell ref="B38:B39"/>
    <mergeCell ref="B40:B41"/>
    <mergeCell ref="A10:A13"/>
    <mergeCell ref="B10:B11"/>
    <mergeCell ref="B12:B13"/>
    <mergeCell ref="A14:A17"/>
    <mergeCell ref="B14:B15"/>
    <mergeCell ref="B16:B17"/>
    <mergeCell ref="A18:A21"/>
    <mergeCell ref="B18:B19"/>
    <mergeCell ref="B20:B21"/>
    <mergeCell ref="A22:A25"/>
    <mergeCell ref="B22:B23"/>
    <mergeCell ref="B24:B25"/>
    <mergeCell ref="A1:D1"/>
    <mergeCell ref="A2:A5"/>
    <mergeCell ref="B2:B3"/>
    <mergeCell ref="B4:B5"/>
    <mergeCell ref="A6:A9"/>
    <mergeCell ref="B6:B7"/>
    <mergeCell ref="B8:B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53"/>
  <sheetViews>
    <sheetView workbookViewId="0">
      <pane xSplit="4" ySplit="1" topLeftCell="E141" activePane="bottomRight" state="frozen"/>
      <selection pane="topRight" activeCell="E1" sqref="E1"/>
      <selection pane="bottomLeft" activeCell="A2" sqref="A2"/>
      <selection pane="bottomRight" activeCell="E151" sqref="E151"/>
    </sheetView>
  </sheetViews>
  <sheetFormatPr defaultRowHeight="10.5" x14ac:dyDescent="0.15"/>
  <cols>
    <col min="1" max="1" width="9.42578125" style="88" bestFit="1" customWidth="1"/>
    <col min="2" max="2" width="10.42578125" style="88" bestFit="1" customWidth="1"/>
    <col min="3" max="3" width="5" style="88" bestFit="1" customWidth="1"/>
    <col min="4" max="4" width="12.5703125" style="88" bestFit="1" customWidth="1"/>
    <col min="5" max="5" width="19.7109375" style="88" bestFit="1" customWidth="1"/>
    <col min="6" max="6" width="18.140625" style="122" bestFit="1" customWidth="1"/>
    <col min="7" max="16" width="18.140625" style="88" bestFit="1" customWidth="1"/>
    <col min="17" max="17" width="22" style="116" bestFit="1" customWidth="1"/>
    <col min="18" max="16384" width="9.140625" style="88"/>
  </cols>
  <sheetData>
    <row r="1" spans="1:17" s="116" customFormat="1" x14ac:dyDescent="0.15">
      <c r="A1" s="108" t="s">
        <v>152</v>
      </c>
      <c r="B1" s="108" t="s">
        <v>206</v>
      </c>
      <c r="C1" s="108" t="s">
        <v>128</v>
      </c>
      <c r="D1" s="108" t="s">
        <v>221</v>
      </c>
      <c r="E1" s="109">
        <v>43101</v>
      </c>
      <c r="F1" s="109">
        <v>43132</v>
      </c>
      <c r="G1" s="109">
        <v>43160</v>
      </c>
      <c r="H1" s="109">
        <v>43191</v>
      </c>
      <c r="I1" s="109">
        <v>43221</v>
      </c>
      <c r="J1" s="109">
        <v>43252</v>
      </c>
      <c r="K1" s="109">
        <v>43282</v>
      </c>
      <c r="L1" s="109">
        <v>43313</v>
      </c>
      <c r="M1" s="109">
        <v>43344</v>
      </c>
      <c r="N1" s="109">
        <v>43374</v>
      </c>
      <c r="O1" s="109">
        <v>43405</v>
      </c>
      <c r="P1" s="109">
        <v>43435</v>
      </c>
      <c r="Q1" s="108" t="s">
        <v>28</v>
      </c>
    </row>
    <row r="2" spans="1:17" x14ac:dyDescent="0.15">
      <c r="A2" s="285" t="s">
        <v>4</v>
      </c>
      <c r="B2" s="286" t="s">
        <v>3</v>
      </c>
      <c r="C2" s="306">
        <v>0.05</v>
      </c>
      <c r="D2" s="98" t="s">
        <v>0</v>
      </c>
      <c r="E2" s="111">
        <v>59933.30999999999</v>
      </c>
      <c r="F2" s="111">
        <v>70859.140000000014</v>
      </c>
      <c r="G2" s="111">
        <v>67683.340000000026</v>
      </c>
      <c r="H2" s="111">
        <v>51857.80000000001</v>
      </c>
      <c r="I2" s="111">
        <v>31004.63</v>
      </c>
      <c r="J2" s="111">
        <v>28934.660000000003</v>
      </c>
      <c r="K2" s="111">
        <v>96343.64</v>
      </c>
      <c r="L2" s="111">
        <v>66734.239999999991</v>
      </c>
      <c r="M2" s="111">
        <v>88766.329999999987</v>
      </c>
      <c r="N2" s="111">
        <v>75124.490000000005</v>
      </c>
      <c r="O2" s="111">
        <v>83947.709999999992</v>
      </c>
      <c r="P2" s="111">
        <v>79599.23000000001</v>
      </c>
      <c r="Q2" s="112">
        <f>SUM(E2:P2)</f>
        <v>800788.5199999999</v>
      </c>
    </row>
    <row r="3" spans="1:17" x14ac:dyDescent="0.15">
      <c r="A3" s="285"/>
      <c r="B3" s="286"/>
      <c r="C3" s="286"/>
      <c r="D3" s="98" t="s">
        <v>1</v>
      </c>
      <c r="E3" s="111">
        <v>6736130.7000000002</v>
      </c>
      <c r="F3" s="111">
        <v>7189479.6999999993</v>
      </c>
      <c r="G3" s="111">
        <v>7670958.7000000002</v>
      </c>
      <c r="H3" s="111">
        <v>6570696.1899999995</v>
      </c>
      <c r="I3" s="111">
        <v>7217827.3399999999</v>
      </c>
      <c r="J3" s="111">
        <v>7610692.8000000017</v>
      </c>
      <c r="K3" s="111">
        <v>9215109.1100000013</v>
      </c>
      <c r="L3" s="111">
        <v>9028218.6399999987</v>
      </c>
      <c r="M3" s="111">
        <v>9131632.3499999996</v>
      </c>
      <c r="N3" s="111">
        <v>8625349.9000000022</v>
      </c>
      <c r="O3" s="111">
        <v>9149529.3599999975</v>
      </c>
      <c r="P3" s="111">
        <v>10252070.130000001</v>
      </c>
      <c r="Q3" s="112">
        <f t="shared" ref="Q3:Q66" si="0">SUM(E3:P3)</f>
        <v>98397694.920000002</v>
      </c>
    </row>
    <row r="4" spans="1:17" x14ac:dyDescent="0.15">
      <c r="A4" s="285"/>
      <c r="B4" s="286"/>
      <c r="C4" s="286" t="s">
        <v>2</v>
      </c>
      <c r="D4" s="98" t="s">
        <v>0</v>
      </c>
      <c r="E4" s="111">
        <v>38657.120000000003</v>
      </c>
      <c r="F4" s="111">
        <v>45704.3</v>
      </c>
      <c r="G4" s="111">
        <v>43655.86</v>
      </c>
      <c r="H4" s="111">
        <v>33448.42</v>
      </c>
      <c r="I4" s="111">
        <v>19998.3</v>
      </c>
      <c r="J4" s="111">
        <v>18662.98</v>
      </c>
      <c r="K4" s="111">
        <v>62141.84</v>
      </c>
      <c r="L4" s="111">
        <v>43043.76</v>
      </c>
      <c r="M4" s="111">
        <v>57254.44</v>
      </c>
      <c r="N4" s="111">
        <v>48455.44</v>
      </c>
      <c r="O4" s="111">
        <v>54146.44</v>
      </c>
      <c r="P4" s="111">
        <v>51341.64</v>
      </c>
      <c r="Q4" s="112">
        <f t="shared" si="0"/>
        <v>516510.54000000004</v>
      </c>
    </row>
    <row r="5" spans="1:17" x14ac:dyDescent="0.15">
      <c r="A5" s="285"/>
      <c r="B5" s="286"/>
      <c r="C5" s="286"/>
      <c r="D5" s="98" t="s">
        <v>1</v>
      </c>
      <c r="E5" s="111">
        <v>87091.569999999992</v>
      </c>
      <c r="F5" s="111">
        <v>70622.12</v>
      </c>
      <c r="G5" s="111">
        <v>102923.70000000001</v>
      </c>
      <c r="H5" s="111">
        <v>84357.55</v>
      </c>
      <c r="I5" s="111">
        <v>51029.61</v>
      </c>
      <c r="J5" s="111">
        <v>48329.62999999999</v>
      </c>
      <c r="K5" s="111">
        <v>168805.69</v>
      </c>
      <c r="L5" s="111">
        <v>141670.5</v>
      </c>
      <c r="M5" s="111">
        <v>177962.37</v>
      </c>
      <c r="N5" s="111">
        <v>150669.22999999998</v>
      </c>
      <c r="O5" s="111">
        <v>178557.45</v>
      </c>
      <c r="P5" s="111">
        <v>160736.35999999999</v>
      </c>
      <c r="Q5" s="112">
        <f t="shared" si="0"/>
        <v>1422755.7799999998</v>
      </c>
    </row>
    <row r="6" spans="1:17" x14ac:dyDescent="0.15">
      <c r="A6" s="285"/>
      <c r="B6" s="286" t="s">
        <v>5</v>
      </c>
      <c r="C6" s="306">
        <v>0.05</v>
      </c>
      <c r="D6" s="98" t="s">
        <v>6</v>
      </c>
      <c r="E6" s="111">
        <v>323776.23000000004</v>
      </c>
      <c r="F6" s="111">
        <v>262172.76</v>
      </c>
      <c r="G6" s="111">
        <v>339684.23</v>
      </c>
      <c r="H6" s="111">
        <v>285621.18</v>
      </c>
      <c r="I6" s="111">
        <v>291173.03000000003</v>
      </c>
      <c r="J6" s="111">
        <v>317283.87</v>
      </c>
      <c r="K6" s="111">
        <v>325220.61</v>
      </c>
      <c r="L6" s="111">
        <v>348868.93</v>
      </c>
      <c r="M6" s="111">
        <v>351513.94000000006</v>
      </c>
      <c r="N6" s="111">
        <v>401226.54000000004</v>
      </c>
      <c r="O6" s="111">
        <v>409083.2</v>
      </c>
      <c r="P6" s="111">
        <v>411623.27</v>
      </c>
      <c r="Q6" s="112">
        <f t="shared" si="0"/>
        <v>4067247.79</v>
      </c>
    </row>
    <row r="7" spans="1:17" x14ac:dyDescent="0.15">
      <c r="A7" s="285"/>
      <c r="B7" s="286"/>
      <c r="C7" s="286"/>
      <c r="D7" s="98" t="s">
        <v>1</v>
      </c>
      <c r="E7" s="111">
        <v>601995.89999999979</v>
      </c>
      <c r="F7" s="111">
        <v>626444.39999999991</v>
      </c>
      <c r="G7" s="111">
        <v>666965.70000000019</v>
      </c>
      <c r="H7" s="111">
        <v>507909.89999999997</v>
      </c>
      <c r="I7" s="111">
        <v>542090.89999999979</v>
      </c>
      <c r="J7" s="111">
        <v>586607.1</v>
      </c>
      <c r="K7" s="111">
        <v>676544.49999999988</v>
      </c>
      <c r="L7" s="111">
        <v>717911.3</v>
      </c>
      <c r="M7" s="111">
        <v>742723.10000000009</v>
      </c>
      <c r="N7" s="111">
        <v>731335.1</v>
      </c>
      <c r="O7" s="111">
        <v>729134.69999999984</v>
      </c>
      <c r="P7" s="111">
        <v>774863.43</v>
      </c>
      <c r="Q7" s="112">
        <f t="shared" si="0"/>
        <v>7904526.0299999984</v>
      </c>
    </row>
    <row r="8" spans="1:17" x14ac:dyDescent="0.15">
      <c r="A8" s="285"/>
      <c r="B8" s="286"/>
      <c r="C8" s="286" t="s">
        <v>2</v>
      </c>
      <c r="D8" s="98" t="s">
        <v>6</v>
      </c>
      <c r="E8" s="111">
        <v>207657.36000000002</v>
      </c>
      <c r="F8" s="111">
        <v>170964.09999999998</v>
      </c>
      <c r="G8" s="111">
        <v>217885.08</v>
      </c>
      <c r="H8" s="111">
        <v>183272.57</v>
      </c>
      <c r="I8" s="111">
        <v>184677.40000000002</v>
      </c>
      <c r="J8" s="111">
        <v>203926.51</v>
      </c>
      <c r="K8" s="111">
        <v>206006.69999999998</v>
      </c>
      <c r="L8" s="111">
        <v>226770.43</v>
      </c>
      <c r="M8" s="111">
        <v>226200.50999999998</v>
      </c>
      <c r="N8" s="111">
        <v>258899.78000000003</v>
      </c>
      <c r="O8" s="111">
        <v>263447.18</v>
      </c>
      <c r="P8" s="111">
        <v>264457.33</v>
      </c>
      <c r="Q8" s="112">
        <f t="shared" si="0"/>
        <v>2614164.9500000002</v>
      </c>
    </row>
    <row r="9" spans="1:17" x14ac:dyDescent="0.15">
      <c r="A9" s="285"/>
      <c r="B9" s="286"/>
      <c r="C9" s="286"/>
      <c r="D9" s="98" t="s">
        <v>1</v>
      </c>
      <c r="E9" s="111">
        <v>142286.15</v>
      </c>
      <c r="F9" s="111">
        <v>115940.01000000001</v>
      </c>
      <c r="G9" s="111">
        <v>166992.54</v>
      </c>
      <c r="H9" s="111">
        <v>146156.46</v>
      </c>
      <c r="I9" s="111">
        <v>157577.85999999999</v>
      </c>
      <c r="J9" s="111">
        <v>168387.18</v>
      </c>
      <c r="K9" s="111">
        <v>185480.17</v>
      </c>
      <c r="L9" s="111">
        <v>189256.45</v>
      </c>
      <c r="M9" s="111">
        <v>190663.27</v>
      </c>
      <c r="N9" s="111">
        <v>199554.16</v>
      </c>
      <c r="O9" s="111">
        <v>224178.65</v>
      </c>
      <c r="P9" s="111">
        <v>218135.11</v>
      </c>
      <c r="Q9" s="112">
        <f t="shared" si="0"/>
        <v>2104608.0099999998</v>
      </c>
    </row>
    <row r="10" spans="1:17" x14ac:dyDescent="0.15">
      <c r="A10" s="285"/>
      <c r="B10" s="307" t="s">
        <v>7</v>
      </c>
      <c r="C10" s="307"/>
      <c r="D10" s="307"/>
      <c r="E10" s="111">
        <v>-79763.46000000005</v>
      </c>
      <c r="F10" s="111">
        <v>-226111.89000000031</v>
      </c>
      <c r="G10" s="111">
        <v>-457884.69000000035</v>
      </c>
      <c r="H10" s="111">
        <v>-124354.27000000005</v>
      </c>
      <c r="I10" s="111">
        <v>-143253.90999999997</v>
      </c>
      <c r="J10" s="111">
        <v>-155874.65000000002</v>
      </c>
      <c r="K10" s="111">
        <v>-243771.62000000023</v>
      </c>
      <c r="L10" s="111">
        <v>-255953.77999999962</v>
      </c>
      <c r="M10" s="111">
        <v>-220102.06</v>
      </c>
      <c r="N10" s="111">
        <v>-558089.55000000028</v>
      </c>
      <c r="O10" s="111">
        <v>-394958.14000000019</v>
      </c>
      <c r="P10" s="111">
        <v>395284.90999999974</v>
      </c>
      <c r="Q10" s="112">
        <f t="shared" si="0"/>
        <v>-2464833.1100000013</v>
      </c>
    </row>
    <row r="11" spans="1:17" x14ac:dyDescent="0.15">
      <c r="A11" s="285" t="s">
        <v>8</v>
      </c>
      <c r="B11" s="286" t="s">
        <v>3</v>
      </c>
      <c r="C11" s="306">
        <v>0.05</v>
      </c>
      <c r="D11" s="98" t="s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11">
        <v>0</v>
      </c>
      <c r="Q11" s="112">
        <f t="shared" si="0"/>
        <v>0</v>
      </c>
    </row>
    <row r="12" spans="1:17" x14ac:dyDescent="0.15">
      <c r="A12" s="285"/>
      <c r="B12" s="286"/>
      <c r="C12" s="286"/>
      <c r="D12" s="98" t="s">
        <v>1</v>
      </c>
      <c r="E12" s="111">
        <v>2261415.29</v>
      </c>
      <c r="F12" s="111">
        <v>2493850.7300000004</v>
      </c>
      <c r="G12" s="111">
        <v>3068383.48</v>
      </c>
      <c r="H12" s="111">
        <v>2584473.84</v>
      </c>
      <c r="I12" s="111">
        <v>2838196.52</v>
      </c>
      <c r="J12" s="111">
        <v>3009105.7600000002</v>
      </c>
      <c r="K12" s="111">
        <v>3620221.44</v>
      </c>
      <c r="L12" s="111">
        <v>3703099.84</v>
      </c>
      <c r="M12" s="111">
        <v>3743969.2500000005</v>
      </c>
      <c r="N12" s="111">
        <v>3509172.7600000002</v>
      </c>
      <c r="O12" s="111">
        <v>3744595.0199999996</v>
      </c>
      <c r="P12" s="111">
        <v>3810015.2800000003</v>
      </c>
      <c r="Q12" s="112">
        <f t="shared" si="0"/>
        <v>38386499.210000001</v>
      </c>
    </row>
    <row r="13" spans="1:17" x14ac:dyDescent="0.15">
      <c r="A13" s="285"/>
      <c r="B13" s="286"/>
      <c r="C13" s="286" t="s">
        <v>2</v>
      </c>
      <c r="D13" s="98" t="s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v>0</v>
      </c>
      <c r="Q13" s="112">
        <f t="shared" si="0"/>
        <v>0</v>
      </c>
    </row>
    <row r="14" spans="1:17" x14ac:dyDescent="0.15">
      <c r="A14" s="285"/>
      <c r="B14" s="286"/>
      <c r="C14" s="286"/>
      <c r="D14" s="98" t="s">
        <v>1</v>
      </c>
      <c r="E14" s="111">
        <v>121996.30999999997</v>
      </c>
      <c r="F14" s="111">
        <v>64251.17</v>
      </c>
      <c r="G14" s="111">
        <v>110340.75</v>
      </c>
      <c r="H14" s="111">
        <v>47674.490000000005</v>
      </c>
      <c r="I14" s="111">
        <v>42163.740000000013</v>
      </c>
      <c r="J14" s="111">
        <v>46064.03</v>
      </c>
      <c r="K14" s="111">
        <v>106704.39000000001</v>
      </c>
      <c r="L14" s="111">
        <v>31199.23</v>
      </c>
      <c r="M14" s="111">
        <v>26018.35</v>
      </c>
      <c r="N14" s="111">
        <v>14210.1</v>
      </c>
      <c r="O14" s="111">
        <v>26553.9</v>
      </c>
      <c r="P14" s="111">
        <v>37492.710000000006</v>
      </c>
      <c r="Q14" s="112">
        <f t="shared" si="0"/>
        <v>674669.16999999993</v>
      </c>
    </row>
    <row r="15" spans="1:17" x14ac:dyDescent="0.15">
      <c r="A15" s="285"/>
      <c r="B15" s="286" t="s">
        <v>5</v>
      </c>
      <c r="C15" s="306">
        <v>0.05</v>
      </c>
      <c r="D15" s="98" t="s">
        <v>6</v>
      </c>
      <c r="E15" s="111">
        <v>2525587.3899999997</v>
      </c>
      <c r="F15" s="111">
        <v>2548711.9699999997</v>
      </c>
      <c r="G15" s="111">
        <v>2735107.39</v>
      </c>
      <c r="H15" s="111">
        <v>2444353.31</v>
      </c>
      <c r="I15" s="111">
        <v>2666978.5099999998</v>
      </c>
      <c r="J15" s="111">
        <v>2908452.87</v>
      </c>
      <c r="K15" s="111">
        <v>3376972.66</v>
      </c>
      <c r="L15" s="111">
        <v>3264579.8000000003</v>
      </c>
      <c r="M15" s="111">
        <v>3365893.9</v>
      </c>
      <c r="N15" s="111">
        <v>3644240.12</v>
      </c>
      <c r="O15" s="111">
        <v>3893915.7</v>
      </c>
      <c r="P15" s="111">
        <v>3605531.31</v>
      </c>
      <c r="Q15" s="112">
        <f t="shared" si="0"/>
        <v>36980324.93</v>
      </c>
    </row>
    <row r="16" spans="1:17" x14ac:dyDescent="0.15">
      <c r="A16" s="285"/>
      <c r="B16" s="286"/>
      <c r="C16" s="286"/>
      <c r="D16" s="98" t="s">
        <v>1</v>
      </c>
      <c r="E16" s="111">
        <v>216718.5</v>
      </c>
      <c r="F16" s="111">
        <v>235298.6</v>
      </c>
      <c r="G16" s="111">
        <v>285842.43000000005</v>
      </c>
      <c r="H16" s="111">
        <v>220940.78999999998</v>
      </c>
      <c r="I16" s="111">
        <v>235809.54</v>
      </c>
      <c r="J16" s="111">
        <v>252692.27999999997</v>
      </c>
      <c r="K16" s="111">
        <v>287118.87</v>
      </c>
      <c r="L16" s="111">
        <v>298585.82999999996</v>
      </c>
      <c r="M16" s="111">
        <v>308905.28999999998</v>
      </c>
      <c r="N16" s="111">
        <v>308205.50999999995</v>
      </c>
      <c r="O16" s="111">
        <v>322354.28999999998</v>
      </c>
      <c r="P16" s="111">
        <v>303443.01</v>
      </c>
      <c r="Q16" s="112">
        <f t="shared" si="0"/>
        <v>3275914.9400000004</v>
      </c>
    </row>
    <row r="17" spans="1:17" x14ac:dyDescent="0.15">
      <c r="A17" s="285"/>
      <c r="B17" s="286"/>
      <c r="C17" s="286" t="s">
        <v>2</v>
      </c>
      <c r="D17" s="98" t="s">
        <v>6</v>
      </c>
      <c r="E17" s="111">
        <v>1812028.1300000001</v>
      </c>
      <c r="F17" s="111">
        <v>1808769.76</v>
      </c>
      <c r="G17" s="111">
        <v>1931063.48</v>
      </c>
      <c r="H17" s="111">
        <v>1738089.3</v>
      </c>
      <c r="I17" s="111">
        <v>1897271.8</v>
      </c>
      <c r="J17" s="111">
        <v>2072741.1199999999</v>
      </c>
      <c r="K17" s="111">
        <v>2408253.5499999998</v>
      </c>
      <c r="L17" s="111">
        <v>2312303.0499999998</v>
      </c>
      <c r="M17" s="111">
        <v>2389571.19</v>
      </c>
      <c r="N17" s="111">
        <v>2595108.09</v>
      </c>
      <c r="O17" s="111">
        <v>2772628.8899999997</v>
      </c>
      <c r="P17" s="111">
        <v>2563262.71</v>
      </c>
      <c r="Q17" s="112">
        <f t="shared" si="0"/>
        <v>26301091.070000004</v>
      </c>
    </row>
    <row r="18" spans="1:17" x14ac:dyDescent="0.15">
      <c r="A18" s="285"/>
      <c r="B18" s="286"/>
      <c r="C18" s="286"/>
      <c r="D18" s="98" t="s">
        <v>1</v>
      </c>
      <c r="E18" s="111">
        <v>848760.55999999994</v>
      </c>
      <c r="F18" s="111">
        <v>775698.24</v>
      </c>
      <c r="G18" s="111">
        <v>742948.23</v>
      </c>
      <c r="H18" s="111">
        <v>696840.04</v>
      </c>
      <c r="I18" s="111">
        <v>757727.42</v>
      </c>
      <c r="J18" s="111">
        <v>822819.38000000012</v>
      </c>
      <c r="K18" s="111">
        <v>1016275.51</v>
      </c>
      <c r="L18" s="111">
        <v>1055528.3799999999</v>
      </c>
      <c r="M18" s="111">
        <v>1111008.31</v>
      </c>
      <c r="N18" s="111">
        <v>1144320.05</v>
      </c>
      <c r="O18" s="111">
        <v>1324907.68</v>
      </c>
      <c r="P18" s="111">
        <v>1243923.24</v>
      </c>
      <c r="Q18" s="112">
        <f t="shared" si="0"/>
        <v>11540757.040000001</v>
      </c>
    </row>
    <row r="19" spans="1:17" x14ac:dyDescent="0.15">
      <c r="A19" s="285"/>
      <c r="B19" s="307" t="s">
        <v>7</v>
      </c>
      <c r="C19" s="307"/>
      <c r="D19" s="307"/>
      <c r="E19" s="111">
        <v>-121650.61000000013</v>
      </c>
      <c r="F19" s="111">
        <v>-178464.11</v>
      </c>
      <c r="G19" s="111">
        <v>-100751.62999999999</v>
      </c>
      <c r="H19" s="111">
        <v>-5905.6999999999234</v>
      </c>
      <c r="I19" s="111">
        <v>91.879999999960418</v>
      </c>
      <c r="J19" s="111">
        <v>91.879999999960418</v>
      </c>
      <c r="K19" s="111">
        <v>-25801.840000000098</v>
      </c>
      <c r="L19" s="111">
        <v>-25801.839999999909</v>
      </c>
      <c r="M19" s="111">
        <v>0</v>
      </c>
      <c r="N19" s="111">
        <v>-76195.379999999568</v>
      </c>
      <c r="O19" s="111">
        <v>-64839.949999999837</v>
      </c>
      <c r="P19" s="111">
        <v>-140305.27000000025</v>
      </c>
      <c r="Q19" s="112">
        <f t="shared" si="0"/>
        <v>-739532.56999999972</v>
      </c>
    </row>
    <row r="20" spans="1:17" x14ac:dyDescent="0.15">
      <c r="A20" s="297" t="s">
        <v>9</v>
      </c>
      <c r="B20" s="289" t="s">
        <v>3</v>
      </c>
      <c r="C20" s="308">
        <v>0.05</v>
      </c>
      <c r="D20" s="117" t="s">
        <v>0</v>
      </c>
      <c r="E20" s="118">
        <v>0</v>
      </c>
      <c r="F20" s="118">
        <v>0</v>
      </c>
      <c r="G20" s="118">
        <v>0</v>
      </c>
      <c r="H20" s="118">
        <v>0</v>
      </c>
      <c r="I20" s="118">
        <v>0</v>
      </c>
      <c r="J20" s="11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v>0</v>
      </c>
      <c r="Q20" s="119">
        <f t="shared" si="0"/>
        <v>0</v>
      </c>
    </row>
    <row r="21" spans="1:17" x14ac:dyDescent="0.15">
      <c r="A21" s="285"/>
      <c r="B21" s="286"/>
      <c r="C21" s="286"/>
      <c r="D21" s="98" t="s">
        <v>1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0</v>
      </c>
      <c r="P21" s="111">
        <v>0</v>
      </c>
      <c r="Q21" s="112">
        <f t="shared" si="0"/>
        <v>0</v>
      </c>
    </row>
    <row r="22" spans="1:17" x14ac:dyDescent="0.15">
      <c r="A22" s="285"/>
      <c r="B22" s="286"/>
      <c r="C22" s="286" t="s">
        <v>2</v>
      </c>
      <c r="D22" s="98" t="s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  <c r="O22" s="111">
        <v>0</v>
      </c>
      <c r="P22" s="111">
        <v>0</v>
      </c>
      <c r="Q22" s="112">
        <f t="shared" si="0"/>
        <v>0</v>
      </c>
    </row>
    <row r="23" spans="1:17" x14ac:dyDescent="0.15">
      <c r="A23" s="285"/>
      <c r="B23" s="286"/>
      <c r="C23" s="286"/>
      <c r="D23" s="98" t="s">
        <v>1</v>
      </c>
      <c r="E23" s="111">
        <v>12917.189999999999</v>
      </c>
      <c r="F23" s="111">
        <v>6803.01</v>
      </c>
      <c r="G23" s="111">
        <v>11683.11</v>
      </c>
      <c r="H23" s="111">
        <v>5047.8600000000006</v>
      </c>
      <c r="I23" s="111">
        <v>4464.3599999999997</v>
      </c>
      <c r="J23" s="111">
        <v>4877.34</v>
      </c>
      <c r="K23" s="111">
        <v>11226.81</v>
      </c>
      <c r="L23" s="111">
        <v>3303.42</v>
      </c>
      <c r="M23" s="111">
        <v>2754.84</v>
      </c>
      <c r="N23" s="111">
        <v>1504.56</v>
      </c>
      <c r="O23" s="111">
        <v>2811.5699999999997</v>
      </c>
      <c r="P23" s="111">
        <v>3969.7799999999997</v>
      </c>
      <c r="Q23" s="112">
        <f t="shared" si="0"/>
        <v>71363.849999999977</v>
      </c>
    </row>
    <row r="24" spans="1:17" x14ac:dyDescent="0.15">
      <c r="A24" s="285"/>
      <c r="B24" s="286" t="s">
        <v>5</v>
      </c>
      <c r="C24" s="306">
        <v>0.05</v>
      </c>
      <c r="D24" s="98" t="s">
        <v>6</v>
      </c>
      <c r="E24" s="111">
        <v>0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  <c r="O24" s="111">
        <v>0</v>
      </c>
      <c r="P24" s="111">
        <v>0</v>
      </c>
      <c r="Q24" s="112">
        <f t="shared" si="0"/>
        <v>0</v>
      </c>
    </row>
    <row r="25" spans="1:17" x14ac:dyDescent="0.15">
      <c r="A25" s="285"/>
      <c r="B25" s="286"/>
      <c r="C25" s="286"/>
      <c r="D25" s="98" t="s">
        <v>1</v>
      </c>
      <c r="E25" s="111">
        <v>0</v>
      </c>
      <c r="F25" s="111">
        <v>0</v>
      </c>
      <c r="G25" s="111">
        <v>0</v>
      </c>
      <c r="H25" s="111">
        <v>0</v>
      </c>
      <c r="I25" s="111">
        <v>0</v>
      </c>
      <c r="J25" s="111">
        <v>0</v>
      </c>
      <c r="K25" s="111">
        <v>0</v>
      </c>
      <c r="L25" s="111">
        <v>0</v>
      </c>
      <c r="M25" s="111">
        <v>0</v>
      </c>
      <c r="N25" s="111">
        <v>0</v>
      </c>
      <c r="O25" s="111">
        <v>0</v>
      </c>
      <c r="P25" s="111">
        <v>0</v>
      </c>
      <c r="Q25" s="112">
        <f t="shared" si="0"/>
        <v>0</v>
      </c>
    </row>
    <row r="26" spans="1:17" x14ac:dyDescent="0.15">
      <c r="A26" s="285"/>
      <c r="B26" s="286"/>
      <c r="C26" s="286" t="s">
        <v>2</v>
      </c>
      <c r="D26" s="98" t="s">
        <v>6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112">
        <f t="shared" si="0"/>
        <v>0</v>
      </c>
    </row>
    <row r="27" spans="1:17" x14ac:dyDescent="0.15">
      <c r="A27" s="285"/>
      <c r="B27" s="286"/>
      <c r="C27" s="286"/>
      <c r="D27" s="98" t="s">
        <v>1</v>
      </c>
      <c r="E27" s="111">
        <v>15264.119999999999</v>
      </c>
      <c r="F27" s="111">
        <v>14736.96</v>
      </c>
      <c r="G27" s="111">
        <v>18164.37</v>
      </c>
      <c r="H27" s="111">
        <v>15820.74</v>
      </c>
      <c r="I27" s="111">
        <v>18450.57</v>
      </c>
      <c r="J27" s="111">
        <v>19190.22</v>
      </c>
      <c r="K27" s="111">
        <v>24998.760000000002</v>
      </c>
      <c r="L27" s="111">
        <v>17892.27</v>
      </c>
      <c r="M27" s="111">
        <v>17262.840000000004</v>
      </c>
      <c r="N27" s="111">
        <v>17225.52</v>
      </c>
      <c r="O27" s="111">
        <v>17547.54</v>
      </c>
      <c r="P27" s="111">
        <v>10287.900000000001</v>
      </c>
      <c r="Q27" s="112">
        <f t="shared" si="0"/>
        <v>206841.80999999997</v>
      </c>
    </row>
    <row r="28" spans="1:17" x14ac:dyDescent="0.15">
      <c r="A28" s="285"/>
      <c r="B28" s="307" t="s">
        <v>7</v>
      </c>
      <c r="C28" s="307"/>
      <c r="D28" s="307"/>
      <c r="E28" s="111">
        <v>4.2300000000002456</v>
      </c>
      <c r="F28" s="111">
        <v>0</v>
      </c>
      <c r="G28" s="111">
        <v>0</v>
      </c>
      <c r="H28" s="111">
        <v>6.2400000000004638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112">
        <f t="shared" si="0"/>
        <v>10.470000000000709</v>
      </c>
    </row>
    <row r="29" spans="1:17" x14ac:dyDescent="0.15">
      <c r="A29" s="285" t="s">
        <v>10</v>
      </c>
      <c r="B29" s="286" t="s">
        <v>3</v>
      </c>
      <c r="C29" s="306">
        <v>0.05</v>
      </c>
      <c r="D29" s="98" t="s">
        <v>0</v>
      </c>
      <c r="E29" s="111">
        <v>1438621.3499999994</v>
      </c>
      <c r="F29" s="111">
        <v>1541912.3700000006</v>
      </c>
      <c r="G29" s="111">
        <v>1249053.1600000001</v>
      </c>
      <c r="H29" s="111">
        <v>1114888.5299999996</v>
      </c>
      <c r="I29" s="111">
        <v>1224662.26</v>
      </c>
      <c r="J29" s="111">
        <v>1124849.4299999995</v>
      </c>
      <c r="K29" s="111">
        <v>1397521.6699999995</v>
      </c>
      <c r="L29" s="111">
        <v>1342792.5300000003</v>
      </c>
      <c r="M29" s="111">
        <v>1427345.8099999996</v>
      </c>
      <c r="N29" s="111">
        <v>1443711.4599999993</v>
      </c>
      <c r="O29" s="111">
        <v>1482978.3599999999</v>
      </c>
      <c r="P29" s="111">
        <v>1472303.1499999994</v>
      </c>
      <c r="Q29" s="112">
        <f t="shared" si="0"/>
        <v>16260640.079999994</v>
      </c>
    </row>
    <row r="30" spans="1:17" x14ac:dyDescent="0.15">
      <c r="A30" s="285"/>
      <c r="B30" s="286"/>
      <c r="C30" s="286"/>
      <c r="D30" s="98" t="s">
        <v>1</v>
      </c>
      <c r="E30" s="111">
        <v>13520376.570000002</v>
      </c>
      <c r="F30" s="111">
        <v>14671031.890000006</v>
      </c>
      <c r="G30" s="111">
        <v>15341917.329999996</v>
      </c>
      <c r="H30" s="111">
        <v>12823808.690000005</v>
      </c>
      <c r="I30" s="111">
        <v>14093113.670000006</v>
      </c>
      <c r="J30" s="111">
        <v>16237447.239999998</v>
      </c>
      <c r="K30" s="111">
        <v>19664384.599999994</v>
      </c>
      <c r="L30" s="111">
        <v>19403019.000000007</v>
      </c>
      <c r="M30" s="111">
        <v>20515733.950000003</v>
      </c>
      <c r="N30" s="111">
        <v>19251256.18</v>
      </c>
      <c r="O30" s="111">
        <v>21142831.350000005</v>
      </c>
      <c r="P30" s="111">
        <v>22731250.600000009</v>
      </c>
      <c r="Q30" s="112">
        <f t="shared" si="0"/>
        <v>209396171.06999999</v>
      </c>
    </row>
    <row r="31" spans="1:17" x14ac:dyDescent="0.15">
      <c r="A31" s="285"/>
      <c r="B31" s="286"/>
      <c r="C31" s="286" t="s">
        <v>2</v>
      </c>
      <c r="D31" s="98" t="s">
        <v>0</v>
      </c>
      <c r="E31" s="111">
        <v>541485.68000000017</v>
      </c>
      <c r="F31" s="111">
        <v>580559.2799999998</v>
      </c>
      <c r="G31" s="111">
        <v>470654.74999999988</v>
      </c>
      <c r="H31" s="111">
        <v>420053.45</v>
      </c>
      <c r="I31" s="111">
        <v>461440.16000000015</v>
      </c>
      <c r="J31" s="111">
        <v>424168.25999999989</v>
      </c>
      <c r="K31" s="111">
        <v>526655.93000000005</v>
      </c>
      <c r="L31" s="111">
        <v>505208.63999999996</v>
      </c>
      <c r="M31" s="111">
        <v>537101.93999999994</v>
      </c>
      <c r="N31" s="111">
        <v>543818.42999999982</v>
      </c>
      <c r="O31" s="111">
        <v>558848.68000000005</v>
      </c>
      <c r="P31" s="111">
        <v>555287.65999999992</v>
      </c>
      <c r="Q31" s="112">
        <f t="shared" si="0"/>
        <v>6125282.8599999994</v>
      </c>
    </row>
    <row r="32" spans="1:17" x14ac:dyDescent="0.15">
      <c r="A32" s="285"/>
      <c r="B32" s="286"/>
      <c r="C32" s="286"/>
      <c r="D32" s="98" t="s">
        <v>1</v>
      </c>
      <c r="E32" s="111">
        <v>2540511.39</v>
      </c>
      <c r="F32" s="111">
        <v>3912299.13</v>
      </c>
      <c r="G32" s="111">
        <v>4299679.55</v>
      </c>
      <c r="H32" s="111">
        <v>3385258.67</v>
      </c>
      <c r="I32" s="111">
        <v>4820704.92</v>
      </c>
      <c r="J32" s="111">
        <v>4571926.55</v>
      </c>
      <c r="K32" s="111">
        <v>6933083.1299999999</v>
      </c>
      <c r="L32" s="111">
        <v>6515687.5199999996</v>
      </c>
      <c r="M32" s="111">
        <v>6635848.6099999994</v>
      </c>
      <c r="N32" s="111">
        <v>7450017.9799999995</v>
      </c>
      <c r="O32" s="111">
        <v>8094082.1500000004</v>
      </c>
      <c r="P32" s="111">
        <v>7357296.5899999999</v>
      </c>
      <c r="Q32" s="112">
        <f t="shared" si="0"/>
        <v>66516396.189999998</v>
      </c>
    </row>
    <row r="33" spans="1:17" x14ac:dyDescent="0.15">
      <c r="A33" s="285"/>
      <c r="B33" s="286" t="s">
        <v>5</v>
      </c>
      <c r="C33" s="306">
        <v>0.05</v>
      </c>
      <c r="D33" s="98" t="s">
        <v>6</v>
      </c>
      <c r="E33" s="111">
        <v>2110195.9900000007</v>
      </c>
      <c r="F33" s="111">
        <v>2227376.88</v>
      </c>
      <c r="G33" s="111">
        <v>2367529.8199999998</v>
      </c>
      <c r="H33" s="111">
        <v>1958506.22</v>
      </c>
      <c r="I33" s="111">
        <v>2137537.9</v>
      </c>
      <c r="J33" s="111">
        <v>2284473.0700000003</v>
      </c>
      <c r="K33" s="111">
        <v>2652058.3200000003</v>
      </c>
      <c r="L33" s="111">
        <v>2636404.7199999993</v>
      </c>
      <c r="M33" s="111">
        <v>2727459.5700000003</v>
      </c>
      <c r="N33" s="111">
        <v>2767013.4999999995</v>
      </c>
      <c r="O33" s="111">
        <v>3012227.05</v>
      </c>
      <c r="P33" s="111">
        <v>3001696.17</v>
      </c>
      <c r="Q33" s="112">
        <f t="shared" si="0"/>
        <v>29882479.210000001</v>
      </c>
    </row>
    <row r="34" spans="1:17" x14ac:dyDescent="0.15">
      <c r="A34" s="285"/>
      <c r="B34" s="286"/>
      <c r="C34" s="286"/>
      <c r="D34" s="98" t="s">
        <v>1</v>
      </c>
      <c r="E34" s="111">
        <v>818714.36999999988</v>
      </c>
      <c r="F34" s="111">
        <v>873966.27</v>
      </c>
      <c r="G34" s="111">
        <v>924223.86000000034</v>
      </c>
      <c r="H34" s="111">
        <v>764404.34999999986</v>
      </c>
      <c r="I34" s="111">
        <v>815846.79999999981</v>
      </c>
      <c r="J34" s="111">
        <v>908488.91999999981</v>
      </c>
      <c r="K34" s="111">
        <v>1036268.1199999996</v>
      </c>
      <c r="L34" s="111">
        <v>1111130.8799999999</v>
      </c>
      <c r="M34" s="111">
        <v>1149532.8000000003</v>
      </c>
      <c r="N34" s="111">
        <v>1144017.06</v>
      </c>
      <c r="O34" s="111">
        <v>1189640.8299999998</v>
      </c>
      <c r="P34" s="111">
        <v>1192097.5499999998</v>
      </c>
      <c r="Q34" s="112">
        <f t="shared" si="0"/>
        <v>11928331.809999999</v>
      </c>
    </row>
    <row r="35" spans="1:17" x14ac:dyDescent="0.15">
      <c r="A35" s="285"/>
      <c r="B35" s="286"/>
      <c r="C35" s="286" t="s">
        <v>2</v>
      </c>
      <c r="D35" s="98" t="s">
        <v>6</v>
      </c>
      <c r="E35" s="111">
        <v>1344806.21</v>
      </c>
      <c r="F35" s="111">
        <v>1417473.8699999999</v>
      </c>
      <c r="G35" s="111">
        <v>1511020.72</v>
      </c>
      <c r="H35" s="111">
        <v>1254267.07</v>
      </c>
      <c r="I35" s="111">
        <v>1361815.6300000001</v>
      </c>
      <c r="J35" s="111">
        <v>1458767.67</v>
      </c>
      <c r="K35" s="111">
        <v>1691540.75</v>
      </c>
      <c r="L35" s="111">
        <v>1680162.3599999999</v>
      </c>
      <c r="M35" s="111">
        <v>1749318.27</v>
      </c>
      <c r="N35" s="111">
        <v>1770837.0799999998</v>
      </c>
      <c r="O35" s="111">
        <v>1927270.4600000002</v>
      </c>
      <c r="P35" s="111">
        <v>1932837.2600000002</v>
      </c>
      <c r="Q35" s="112">
        <f t="shared" si="0"/>
        <v>19100117.350000001</v>
      </c>
    </row>
    <row r="36" spans="1:17" x14ac:dyDescent="0.15">
      <c r="A36" s="285"/>
      <c r="B36" s="286"/>
      <c r="C36" s="286"/>
      <c r="D36" s="98" t="s">
        <v>1</v>
      </c>
      <c r="E36" s="111">
        <v>450211.6</v>
      </c>
      <c r="F36" s="111">
        <v>447742.15</v>
      </c>
      <c r="G36" s="111">
        <v>649965.43999999994</v>
      </c>
      <c r="H36" s="111">
        <v>513637.6</v>
      </c>
      <c r="I36" s="111">
        <v>530477.27</v>
      </c>
      <c r="J36" s="111">
        <v>597319.35000000009</v>
      </c>
      <c r="K36" s="111">
        <v>570273.43999999994</v>
      </c>
      <c r="L36" s="111">
        <v>608024.30000000005</v>
      </c>
      <c r="M36" s="111">
        <v>579561.76000000013</v>
      </c>
      <c r="N36" s="111">
        <v>672661.7</v>
      </c>
      <c r="O36" s="111">
        <v>746058.21</v>
      </c>
      <c r="P36" s="111">
        <v>633831.43000000017</v>
      </c>
      <c r="Q36" s="112">
        <f t="shared" si="0"/>
        <v>6999764.25</v>
      </c>
    </row>
    <row r="37" spans="1:17" x14ac:dyDescent="0.15">
      <c r="A37" s="285"/>
      <c r="B37" s="307" t="s">
        <v>7</v>
      </c>
      <c r="C37" s="307"/>
      <c r="D37" s="307"/>
      <c r="E37" s="111">
        <v>447967.59999999986</v>
      </c>
      <c r="F37" s="111">
        <v>-853028.4100000005</v>
      </c>
      <c r="G37" s="111">
        <v>-438298.93000000069</v>
      </c>
      <c r="H37" s="111">
        <v>4335.5699999998287</v>
      </c>
      <c r="I37" s="111">
        <v>252.15999999998485</v>
      </c>
      <c r="J37" s="111">
        <v>252.16000000005442</v>
      </c>
      <c r="K37" s="111">
        <v>-117485.79000000039</v>
      </c>
      <c r="L37" s="111">
        <v>-117485.7899999993</v>
      </c>
      <c r="M37" s="111">
        <v>0</v>
      </c>
      <c r="N37" s="111">
        <v>-745009.94000000088</v>
      </c>
      <c r="O37" s="111">
        <v>-340864.61000000028</v>
      </c>
      <c r="P37" s="111">
        <v>115056.02999999965</v>
      </c>
      <c r="Q37" s="112">
        <f t="shared" si="0"/>
        <v>-2044309.9500000027</v>
      </c>
    </row>
    <row r="38" spans="1:17" x14ac:dyDescent="0.15">
      <c r="A38" s="285" t="s">
        <v>11</v>
      </c>
      <c r="B38" s="286" t="s">
        <v>3</v>
      </c>
      <c r="C38" s="306">
        <v>0.05</v>
      </c>
      <c r="D38" s="98" t="s">
        <v>0</v>
      </c>
      <c r="E38" s="111">
        <v>385606.14000000007</v>
      </c>
      <c r="F38" s="111">
        <v>379095.91000000003</v>
      </c>
      <c r="G38" s="111">
        <v>391735.75</v>
      </c>
      <c r="H38" s="111">
        <v>340020.10000000003</v>
      </c>
      <c r="I38" s="111">
        <v>398612.79000000004</v>
      </c>
      <c r="J38" s="111">
        <v>468189.35</v>
      </c>
      <c r="K38" s="111">
        <v>567837.89999999991</v>
      </c>
      <c r="L38" s="111">
        <v>553577.24</v>
      </c>
      <c r="M38" s="111">
        <v>587927.46</v>
      </c>
      <c r="N38" s="111">
        <v>602440.36</v>
      </c>
      <c r="O38" s="111">
        <v>637552.76000000013</v>
      </c>
      <c r="P38" s="111">
        <v>634244.40999999992</v>
      </c>
      <c r="Q38" s="112">
        <f t="shared" si="0"/>
        <v>5946840.1699999999</v>
      </c>
    </row>
    <row r="39" spans="1:17" x14ac:dyDescent="0.15">
      <c r="A39" s="285"/>
      <c r="B39" s="286"/>
      <c r="C39" s="286"/>
      <c r="D39" s="98" t="s">
        <v>1</v>
      </c>
      <c r="E39" s="111">
        <v>5316731.6900000004</v>
      </c>
      <c r="F39" s="111">
        <v>5875152.8399999999</v>
      </c>
      <c r="G39" s="111">
        <v>6776013.46</v>
      </c>
      <c r="H39" s="111">
        <v>5606994.0399999991</v>
      </c>
      <c r="I39" s="111">
        <v>6043401.1600000001</v>
      </c>
      <c r="J39" s="111">
        <v>6946344.7600000016</v>
      </c>
      <c r="K39" s="111">
        <v>8639164.7699999996</v>
      </c>
      <c r="L39" s="111">
        <v>7712240.959999999</v>
      </c>
      <c r="M39" s="111">
        <v>8690270.0499999989</v>
      </c>
      <c r="N39" s="111">
        <v>8067817.7100000018</v>
      </c>
      <c r="O39" s="111">
        <v>9432140.2799999993</v>
      </c>
      <c r="P39" s="111">
        <v>10509752.290000001</v>
      </c>
      <c r="Q39" s="112">
        <f t="shared" si="0"/>
        <v>89616024.010000005</v>
      </c>
    </row>
    <row r="40" spans="1:17" x14ac:dyDescent="0.15">
      <c r="A40" s="285"/>
      <c r="B40" s="286"/>
      <c r="C40" s="286" t="s">
        <v>2</v>
      </c>
      <c r="D40" s="98" t="s">
        <v>0</v>
      </c>
      <c r="E40" s="111">
        <v>289204.85000000003</v>
      </c>
      <c r="F40" s="111">
        <v>284322.18</v>
      </c>
      <c r="G40" s="111">
        <v>293802.03000000003</v>
      </c>
      <c r="H40" s="111">
        <v>255015.31999999995</v>
      </c>
      <c r="I40" s="111">
        <v>298959.82999999996</v>
      </c>
      <c r="J40" s="111">
        <v>351142.23</v>
      </c>
      <c r="K40" s="111">
        <v>425878.62</v>
      </c>
      <c r="L40" s="111">
        <v>415183.17000000004</v>
      </c>
      <c r="M40" s="111">
        <v>440945.86</v>
      </c>
      <c r="N40" s="111">
        <v>451830.5</v>
      </c>
      <c r="O40" s="111">
        <v>478164.83</v>
      </c>
      <c r="P40" s="111">
        <v>475683.52999999997</v>
      </c>
      <c r="Q40" s="112">
        <f t="shared" si="0"/>
        <v>4460132.95</v>
      </c>
    </row>
    <row r="41" spans="1:17" x14ac:dyDescent="0.15">
      <c r="A41" s="285"/>
      <c r="B41" s="286"/>
      <c r="C41" s="286"/>
      <c r="D41" s="98" t="s">
        <v>1</v>
      </c>
      <c r="E41" s="111">
        <v>134975.83000000002</v>
      </c>
      <c r="F41" s="111">
        <v>149930.62</v>
      </c>
      <c r="G41" s="111">
        <v>118993.67000000001</v>
      </c>
      <c r="H41" s="111">
        <v>57056.7</v>
      </c>
      <c r="I41" s="111">
        <v>84688.47</v>
      </c>
      <c r="J41" s="111">
        <v>130673.46</v>
      </c>
      <c r="K41" s="111">
        <v>139825.84000000003</v>
      </c>
      <c r="L41" s="111">
        <v>106765.73999999999</v>
      </c>
      <c r="M41" s="111">
        <v>85422.69</v>
      </c>
      <c r="N41" s="111">
        <v>171683.80999999997</v>
      </c>
      <c r="O41" s="111">
        <v>87713.51999999999</v>
      </c>
      <c r="P41" s="111">
        <v>193500.5</v>
      </c>
      <c r="Q41" s="112">
        <f t="shared" si="0"/>
        <v>1461230.85</v>
      </c>
    </row>
    <row r="42" spans="1:17" x14ac:dyDescent="0.15">
      <c r="A42" s="285"/>
      <c r="B42" s="286" t="s">
        <v>5</v>
      </c>
      <c r="C42" s="306">
        <v>0.05</v>
      </c>
      <c r="D42" s="98" t="s">
        <v>6</v>
      </c>
      <c r="E42" s="111">
        <v>56503.69</v>
      </c>
      <c r="F42" s="111">
        <v>60028.349999999991</v>
      </c>
      <c r="G42" s="111">
        <v>55309.17</v>
      </c>
      <c r="H42" s="111">
        <v>47876.36</v>
      </c>
      <c r="I42" s="111">
        <v>53885.3</v>
      </c>
      <c r="J42" s="111">
        <v>59939.08</v>
      </c>
      <c r="K42" s="111">
        <v>59794.46</v>
      </c>
      <c r="L42" s="111">
        <v>86021.21</v>
      </c>
      <c r="M42" s="111">
        <v>79209.41</v>
      </c>
      <c r="N42" s="111">
        <v>77776.399999999994</v>
      </c>
      <c r="O42" s="111">
        <v>86355.81</v>
      </c>
      <c r="P42" s="111">
        <v>83029.259999999995</v>
      </c>
      <c r="Q42" s="112">
        <f t="shared" si="0"/>
        <v>805728.5</v>
      </c>
    </row>
    <row r="43" spans="1:17" x14ac:dyDescent="0.15">
      <c r="A43" s="285"/>
      <c r="B43" s="286"/>
      <c r="C43" s="286"/>
      <c r="D43" s="98" t="s">
        <v>1</v>
      </c>
      <c r="E43" s="111">
        <v>276918.09000000003</v>
      </c>
      <c r="F43" s="111">
        <v>270440.61</v>
      </c>
      <c r="G43" s="111">
        <v>314426.67000000004</v>
      </c>
      <c r="H43" s="111">
        <v>220940.78999999998</v>
      </c>
      <c r="I43" s="111">
        <v>211415.44999999998</v>
      </c>
      <c r="J43" s="111">
        <v>227122.22999999998</v>
      </c>
      <c r="K43" s="111">
        <v>315170.71000000002</v>
      </c>
      <c r="L43" s="111">
        <v>326323.31</v>
      </c>
      <c r="M43" s="111">
        <v>337601.41</v>
      </c>
      <c r="N43" s="111">
        <v>337807.17</v>
      </c>
      <c r="O43" s="111">
        <v>395267.75999999995</v>
      </c>
      <c r="P43" s="111">
        <v>444327.27</v>
      </c>
      <c r="Q43" s="112">
        <f t="shared" si="0"/>
        <v>3677761.4699999997</v>
      </c>
    </row>
    <row r="44" spans="1:17" x14ac:dyDescent="0.15">
      <c r="A44" s="285"/>
      <c r="B44" s="286"/>
      <c r="C44" s="286" t="s">
        <v>2</v>
      </c>
      <c r="D44" s="98" t="s">
        <v>6</v>
      </c>
      <c r="E44" s="111">
        <v>23758.78</v>
      </c>
      <c r="F44" s="111">
        <v>25254.13</v>
      </c>
      <c r="G44" s="111">
        <v>23270.480000000003</v>
      </c>
      <c r="H44" s="111">
        <v>20142.84</v>
      </c>
      <c r="I44" s="111">
        <v>22657.73</v>
      </c>
      <c r="J44" s="111">
        <v>25209.14</v>
      </c>
      <c r="K44" s="111">
        <v>25151.25</v>
      </c>
      <c r="L44" s="111">
        <v>36202.79</v>
      </c>
      <c r="M44" s="111">
        <v>33341.25</v>
      </c>
      <c r="N44" s="111">
        <v>32728.499999999996</v>
      </c>
      <c r="O44" s="111">
        <v>36351.269999999997</v>
      </c>
      <c r="P44" s="111">
        <v>34933.65</v>
      </c>
      <c r="Q44" s="112">
        <f t="shared" si="0"/>
        <v>339001.81000000006</v>
      </c>
    </row>
    <row r="45" spans="1:17" x14ac:dyDescent="0.15">
      <c r="A45" s="285"/>
      <c r="B45" s="286"/>
      <c r="C45" s="286"/>
      <c r="D45" s="98" t="s">
        <v>1</v>
      </c>
      <c r="E45" s="111">
        <v>16226.949999999999</v>
      </c>
      <c r="F45" s="111">
        <v>16739.580000000002</v>
      </c>
      <c r="G45" s="111">
        <v>17675.47</v>
      </c>
      <c r="H45" s="111">
        <v>15273.34</v>
      </c>
      <c r="I45" s="111">
        <v>16008.549999999996</v>
      </c>
      <c r="J45" s="111">
        <v>18532</v>
      </c>
      <c r="K45" s="111">
        <v>17668.560000000001</v>
      </c>
      <c r="L45" s="111">
        <v>25700.75</v>
      </c>
      <c r="M45" s="111">
        <v>22790.76</v>
      </c>
      <c r="N45" s="111">
        <v>22016.31</v>
      </c>
      <c r="O45" s="111">
        <v>26276.93</v>
      </c>
      <c r="P45" s="111">
        <v>21379.039999999997</v>
      </c>
      <c r="Q45" s="112">
        <f t="shared" si="0"/>
        <v>236288.24</v>
      </c>
    </row>
    <row r="46" spans="1:17" x14ac:dyDescent="0.15">
      <c r="A46" s="285"/>
      <c r="B46" s="307" t="s">
        <v>7</v>
      </c>
      <c r="C46" s="307"/>
      <c r="D46" s="307"/>
      <c r="E46" s="111">
        <v>-28587.389999999992</v>
      </c>
      <c r="F46" s="111">
        <v>-40506.850000000108</v>
      </c>
      <c r="G46" s="111">
        <v>-101623.55000000022</v>
      </c>
      <c r="H46" s="111">
        <v>571.94999999997901</v>
      </c>
      <c r="I46" s="111">
        <v>233.61999999997846</v>
      </c>
      <c r="J46" s="111">
        <v>233.61999999997846</v>
      </c>
      <c r="K46" s="111">
        <v>531188.13999999966</v>
      </c>
      <c r="L46" s="111">
        <v>531188.14000000025</v>
      </c>
      <c r="M46" s="111">
        <v>0</v>
      </c>
      <c r="N46" s="111">
        <v>-255433.78000000009</v>
      </c>
      <c r="O46" s="111">
        <v>-135484.92000000016</v>
      </c>
      <c r="P46" s="111">
        <v>-1338274.28</v>
      </c>
      <c r="Q46" s="112">
        <f t="shared" si="0"/>
        <v>-836495.30000000075</v>
      </c>
    </row>
    <row r="47" spans="1:17" x14ac:dyDescent="0.15">
      <c r="A47" s="285" t="s">
        <v>12</v>
      </c>
      <c r="B47" s="286" t="s">
        <v>3</v>
      </c>
      <c r="C47" s="306">
        <v>0.05</v>
      </c>
      <c r="D47" s="98" t="s">
        <v>0</v>
      </c>
      <c r="E47" s="111">
        <v>30564841.560000002</v>
      </c>
      <c r="F47" s="111">
        <v>34282347.430000007</v>
      </c>
      <c r="G47" s="111">
        <v>33560600.019999996</v>
      </c>
      <c r="H47" s="111">
        <v>27950720.970000006</v>
      </c>
      <c r="I47" s="111">
        <v>31437121.710000005</v>
      </c>
      <c r="J47" s="111">
        <v>35926140.909999996</v>
      </c>
      <c r="K47" s="111">
        <v>41888011.089999996</v>
      </c>
      <c r="L47" s="111">
        <v>38480838.269999981</v>
      </c>
      <c r="M47" s="111">
        <v>39324470.18</v>
      </c>
      <c r="N47" s="111">
        <v>43449425.760000005</v>
      </c>
      <c r="O47" s="111">
        <v>40002480.329999998</v>
      </c>
      <c r="P47" s="111">
        <v>46812214.489999995</v>
      </c>
      <c r="Q47" s="112">
        <f t="shared" si="0"/>
        <v>443679212.72000003</v>
      </c>
    </row>
    <row r="48" spans="1:17" x14ac:dyDescent="0.15">
      <c r="A48" s="285"/>
      <c r="B48" s="286"/>
      <c r="C48" s="286"/>
      <c r="D48" s="98" t="s">
        <v>1</v>
      </c>
      <c r="E48" s="111">
        <v>2742567.45</v>
      </c>
      <c r="F48" s="111">
        <v>3167864.3700000006</v>
      </c>
      <c r="G48" s="111">
        <v>3068383.4099999997</v>
      </c>
      <c r="H48" s="111">
        <v>2595424.9199999995</v>
      </c>
      <c r="I48" s="111">
        <v>2862663.63</v>
      </c>
      <c r="J48" s="111">
        <v>2784399.7199999997</v>
      </c>
      <c r="K48" s="111">
        <v>3702499.1399999992</v>
      </c>
      <c r="L48" s="111">
        <v>3580683.2399999998</v>
      </c>
      <c r="M48" s="111">
        <v>3606994.6500000008</v>
      </c>
      <c r="N48" s="111">
        <v>3148416.57</v>
      </c>
      <c r="O48" s="111">
        <v>4309816.8599999994</v>
      </c>
      <c r="P48" s="111">
        <v>4325379.6000000006</v>
      </c>
      <c r="Q48" s="112">
        <f t="shared" si="0"/>
        <v>39895093.560000002</v>
      </c>
    </row>
    <row r="49" spans="1:17" x14ac:dyDescent="0.15">
      <c r="A49" s="285"/>
      <c r="B49" s="286"/>
      <c r="C49" s="286" t="s">
        <v>2</v>
      </c>
      <c r="D49" s="98" t="s">
        <v>0</v>
      </c>
      <c r="E49" s="111">
        <v>24926987.859999999</v>
      </c>
      <c r="F49" s="111">
        <v>27841843.579999998</v>
      </c>
      <c r="G49" s="111">
        <v>27243242.43</v>
      </c>
      <c r="H49" s="111">
        <v>22732051.839999996</v>
      </c>
      <c r="I49" s="111">
        <v>25593290.57</v>
      </c>
      <c r="J49" s="111">
        <v>29095957.679999996</v>
      </c>
      <c r="K49" s="111">
        <v>33864063.429999992</v>
      </c>
      <c r="L49" s="111">
        <v>31246796.439999998</v>
      </c>
      <c r="M49" s="111">
        <v>31599978.77</v>
      </c>
      <c r="N49" s="111">
        <v>34844445.220000006</v>
      </c>
      <c r="O49" s="111">
        <v>32192644.300000001</v>
      </c>
      <c r="P49" s="111">
        <v>37698094.210000001</v>
      </c>
      <c r="Q49" s="112">
        <f t="shared" si="0"/>
        <v>358879396.32999998</v>
      </c>
    </row>
    <row r="50" spans="1:17" x14ac:dyDescent="0.15">
      <c r="A50" s="285"/>
      <c r="B50" s="286"/>
      <c r="C50" s="286"/>
      <c r="D50" s="98" t="s">
        <v>1</v>
      </c>
      <c r="E50" s="111">
        <v>1399188.31</v>
      </c>
      <c r="F50" s="111">
        <v>1546720.89</v>
      </c>
      <c r="G50" s="111">
        <v>1652812.05</v>
      </c>
      <c r="H50" s="111">
        <v>1291977.47</v>
      </c>
      <c r="I50" s="111">
        <v>1350163.8699999999</v>
      </c>
      <c r="J50" s="111">
        <v>1559830.8</v>
      </c>
      <c r="K50" s="111">
        <v>2159534.7999999998</v>
      </c>
      <c r="L50" s="111">
        <v>2123506.19</v>
      </c>
      <c r="M50" s="111">
        <v>2195716.3600000003</v>
      </c>
      <c r="N50" s="111">
        <v>2405746.8799999994</v>
      </c>
      <c r="O50" s="111">
        <v>2311828.4500000007</v>
      </c>
      <c r="P50" s="111">
        <v>2429956.87</v>
      </c>
      <c r="Q50" s="112">
        <f t="shared" si="0"/>
        <v>22426982.940000001</v>
      </c>
    </row>
    <row r="51" spans="1:17" x14ac:dyDescent="0.15">
      <c r="A51" s="285"/>
      <c r="B51" s="286" t="s">
        <v>5</v>
      </c>
      <c r="C51" s="306">
        <v>0.05</v>
      </c>
      <c r="D51" s="98" t="s">
        <v>6</v>
      </c>
      <c r="E51" s="111">
        <v>573244.52</v>
      </c>
      <c r="F51" s="111">
        <v>593411.87</v>
      </c>
      <c r="G51" s="111">
        <v>629440.57000000007</v>
      </c>
      <c r="H51" s="111">
        <v>537235.62000000011</v>
      </c>
      <c r="I51" s="111">
        <v>575115.68000000005</v>
      </c>
      <c r="J51" s="111">
        <v>639767.43999999994</v>
      </c>
      <c r="K51" s="111">
        <v>746468.66999999993</v>
      </c>
      <c r="L51" s="111">
        <v>704635.80999999994</v>
      </c>
      <c r="M51" s="111">
        <v>738230.05</v>
      </c>
      <c r="N51" s="111">
        <v>692226.27</v>
      </c>
      <c r="O51" s="111">
        <v>752123.23</v>
      </c>
      <c r="P51" s="111">
        <v>743923.84000000008</v>
      </c>
      <c r="Q51" s="112">
        <f t="shared" si="0"/>
        <v>7925823.5700000003</v>
      </c>
    </row>
    <row r="52" spans="1:17" x14ac:dyDescent="0.15">
      <c r="A52" s="285"/>
      <c r="B52" s="286"/>
      <c r="C52" s="286"/>
      <c r="D52" s="98" t="s">
        <v>1</v>
      </c>
      <c r="E52" s="111">
        <v>288957.99000000005</v>
      </c>
      <c r="F52" s="111">
        <v>262801.03000000003</v>
      </c>
      <c r="G52" s="111">
        <v>276314.34000000003</v>
      </c>
      <c r="H52" s="111">
        <v>193005.74</v>
      </c>
      <c r="I52" s="111">
        <v>230388.63</v>
      </c>
      <c r="J52" s="111">
        <v>245171.66999999995</v>
      </c>
      <c r="K52" s="111">
        <v>275568.09999999998</v>
      </c>
      <c r="L52" s="111">
        <v>337744.61999999994</v>
      </c>
      <c r="M52" s="111">
        <v>349417.45999999996</v>
      </c>
      <c r="N52" s="111">
        <v>353478.6399999999</v>
      </c>
      <c r="O52" s="111">
        <v>425968.17000000004</v>
      </c>
      <c r="P52" s="111">
        <v>395559.63</v>
      </c>
      <c r="Q52" s="112">
        <f t="shared" si="0"/>
        <v>3634376.0199999996</v>
      </c>
    </row>
    <row r="53" spans="1:17" x14ac:dyDescent="0.15">
      <c r="A53" s="285"/>
      <c r="B53" s="286"/>
      <c r="C53" s="286" t="s">
        <v>2</v>
      </c>
      <c r="D53" s="98" t="s">
        <v>6</v>
      </c>
      <c r="E53" s="111">
        <v>346671.45999999996</v>
      </c>
      <c r="F53" s="111">
        <v>352635.99</v>
      </c>
      <c r="G53" s="111">
        <v>371868.08999999997</v>
      </c>
      <c r="H53" s="111">
        <v>317692.07</v>
      </c>
      <c r="I53" s="111">
        <v>334927.40000000002</v>
      </c>
      <c r="J53" s="111">
        <v>372839.36000000004</v>
      </c>
      <c r="K53" s="111">
        <v>431244.76</v>
      </c>
      <c r="L53" s="111">
        <v>403772.95000000007</v>
      </c>
      <c r="M53" s="111">
        <v>422089.7</v>
      </c>
      <c r="N53" s="111">
        <v>396048.25</v>
      </c>
      <c r="O53" s="111">
        <v>437636.07</v>
      </c>
      <c r="P53" s="111">
        <v>429261.05000000005</v>
      </c>
      <c r="Q53" s="112">
        <f t="shared" si="0"/>
        <v>4616687.1500000004</v>
      </c>
    </row>
    <row r="54" spans="1:17" x14ac:dyDescent="0.15">
      <c r="A54" s="285"/>
      <c r="B54" s="286"/>
      <c r="C54" s="286"/>
      <c r="D54" s="98" t="s">
        <v>1</v>
      </c>
      <c r="E54" s="111">
        <v>160277.56</v>
      </c>
      <c r="F54" s="111">
        <v>158372.01999999999</v>
      </c>
      <c r="G54" s="111">
        <v>185354.59999999998</v>
      </c>
      <c r="H54" s="111">
        <v>190121.27000000002</v>
      </c>
      <c r="I54" s="111">
        <v>196946.37</v>
      </c>
      <c r="J54" s="111">
        <v>187019.3</v>
      </c>
      <c r="K54" s="111">
        <v>226520.74</v>
      </c>
      <c r="L54" s="111">
        <v>184657.04</v>
      </c>
      <c r="M54" s="111">
        <v>182922.39</v>
      </c>
      <c r="N54" s="111">
        <v>217907.02999999997</v>
      </c>
      <c r="O54" s="111">
        <v>138980.73000000001</v>
      </c>
      <c r="P54" s="111">
        <v>140034.96</v>
      </c>
      <c r="Q54" s="112">
        <f t="shared" si="0"/>
        <v>2169114.0100000002</v>
      </c>
    </row>
    <row r="55" spans="1:17" x14ac:dyDescent="0.15">
      <c r="A55" s="285"/>
      <c r="B55" s="307" t="s">
        <v>7</v>
      </c>
      <c r="C55" s="307"/>
      <c r="D55" s="307"/>
      <c r="E55" s="111">
        <v>-33414.1899999999</v>
      </c>
      <c r="F55" s="111">
        <v>-23241.650000000038</v>
      </c>
      <c r="G55" s="111">
        <v>-32047.620000000185</v>
      </c>
      <c r="H55" s="111">
        <v>1802.9600000004025</v>
      </c>
      <c r="I55" s="111">
        <v>220.64000000007218</v>
      </c>
      <c r="J55" s="111">
        <v>220.64000000013039</v>
      </c>
      <c r="K55" s="111">
        <v>-13263.840000000309</v>
      </c>
      <c r="L55" s="111">
        <v>-13263.839999999494</v>
      </c>
      <c r="M55" s="111">
        <v>0</v>
      </c>
      <c r="N55" s="111">
        <v>-192415.29999999912</v>
      </c>
      <c r="O55" s="111">
        <v>-156444.42000000001</v>
      </c>
      <c r="P55" s="111">
        <v>-202167.6699999992</v>
      </c>
      <c r="Q55" s="112">
        <f t="shared" si="0"/>
        <v>-664014.28999999771</v>
      </c>
    </row>
    <row r="56" spans="1:17" x14ac:dyDescent="0.15">
      <c r="A56" s="285" t="s">
        <v>13</v>
      </c>
      <c r="B56" s="286" t="s">
        <v>3</v>
      </c>
      <c r="C56" s="306">
        <v>0.05</v>
      </c>
      <c r="D56" s="98" t="s">
        <v>0</v>
      </c>
      <c r="E56" s="111">
        <v>0</v>
      </c>
      <c r="F56" s="111">
        <v>0</v>
      </c>
      <c r="G56" s="111">
        <v>0</v>
      </c>
      <c r="H56" s="111">
        <v>0</v>
      </c>
      <c r="I56" s="111">
        <v>0</v>
      </c>
      <c r="J56" s="111">
        <v>0</v>
      </c>
      <c r="K56" s="111">
        <v>0</v>
      </c>
      <c r="L56" s="111">
        <v>0</v>
      </c>
      <c r="M56" s="111">
        <v>0</v>
      </c>
      <c r="N56" s="111">
        <v>0</v>
      </c>
      <c r="O56" s="111">
        <v>0</v>
      </c>
      <c r="P56" s="111">
        <v>0</v>
      </c>
      <c r="Q56" s="112">
        <f t="shared" si="0"/>
        <v>0</v>
      </c>
    </row>
    <row r="57" spans="1:17" x14ac:dyDescent="0.15">
      <c r="A57" s="285"/>
      <c r="B57" s="286"/>
      <c r="C57" s="286"/>
      <c r="D57" s="98" t="s">
        <v>1</v>
      </c>
      <c r="E57" s="111">
        <v>3368065.3499999996</v>
      </c>
      <c r="F57" s="111">
        <v>3594739.8500000006</v>
      </c>
      <c r="G57" s="111">
        <v>3835479.35</v>
      </c>
      <c r="H57" s="111">
        <v>3230592.3</v>
      </c>
      <c r="I57" s="111">
        <v>3547745.65</v>
      </c>
      <c r="J57" s="111">
        <v>3761382.2</v>
      </c>
      <c r="K57" s="111">
        <v>4525276.8</v>
      </c>
      <c r="L57" s="111">
        <v>4437599</v>
      </c>
      <c r="M57" s="111">
        <v>4489719.25</v>
      </c>
      <c r="N57" s="111">
        <v>4263480.95</v>
      </c>
      <c r="O57" s="111">
        <v>4504111.9499999993</v>
      </c>
      <c r="P57" s="111">
        <v>4601467.75</v>
      </c>
      <c r="Q57" s="112">
        <f t="shared" si="0"/>
        <v>48159660.400000006</v>
      </c>
    </row>
    <row r="58" spans="1:17" x14ac:dyDescent="0.15">
      <c r="A58" s="285"/>
      <c r="B58" s="286"/>
      <c r="C58" s="286" t="s">
        <v>2</v>
      </c>
      <c r="D58" s="98" t="s">
        <v>0</v>
      </c>
      <c r="E58" s="111">
        <v>0</v>
      </c>
      <c r="F58" s="111">
        <v>0</v>
      </c>
      <c r="G58" s="111">
        <v>0</v>
      </c>
      <c r="H58" s="111">
        <v>0</v>
      </c>
      <c r="I58" s="111">
        <v>0</v>
      </c>
      <c r="J58" s="111">
        <v>0</v>
      </c>
      <c r="K58" s="111">
        <v>0</v>
      </c>
      <c r="L58" s="111">
        <v>0</v>
      </c>
      <c r="M58" s="111">
        <v>0</v>
      </c>
      <c r="N58" s="111">
        <v>0</v>
      </c>
      <c r="O58" s="111">
        <v>0</v>
      </c>
      <c r="P58" s="111">
        <v>0</v>
      </c>
      <c r="Q58" s="112">
        <f t="shared" si="0"/>
        <v>0</v>
      </c>
    </row>
    <row r="59" spans="1:17" x14ac:dyDescent="0.15">
      <c r="A59" s="285"/>
      <c r="B59" s="286"/>
      <c r="C59" s="286"/>
      <c r="D59" s="98" t="s">
        <v>1</v>
      </c>
      <c r="E59" s="111">
        <v>0</v>
      </c>
      <c r="F59" s="111">
        <v>0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0</v>
      </c>
      <c r="M59" s="111">
        <v>0</v>
      </c>
      <c r="N59" s="111">
        <v>0</v>
      </c>
      <c r="O59" s="111">
        <v>0</v>
      </c>
      <c r="P59" s="111">
        <v>0</v>
      </c>
      <c r="Q59" s="112">
        <f t="shared" si="0"/>
        <v>0</v>
      </c>
    </row>
    <row r="60" spans="1:17" x14ac:dyDescent="0.15">
      <c r="A60" s="285"/>
      <c r="B60" s="286" t="s">
        <v>5</v>
      </c>
      <c r="C60" s="306">
        <v>0.05</v>
      </c>
      <c r="D60" s="98" t="s">
        <v>6</v>
      </c>
      <c r="E60" s="111">
        <v>898068.34000000008</v>
      </c>
      <c r="F60" s="111">
        <v>896623.28</v>
      </c>
      <c r="G60" s="111">
        <v>916182.47000000009</v>
      </c>
      <c r="H60" s="111">
        <v>16983.61</v>
      </c>
      <c r="I60" s="111">
        <v>745.74</v>
      </c>
      <c r="J60" s="111">
        <v>61713.56</v>
      </c>
      <c r="K60" s="111">
        <v>10107.800000000001</v>
      </c>
      <c r="L60" s="111">
        <v>819370.91999999993</v>
      </c>
      <c r="M60" s="111">
        <v>1095698.6000000001</v>
      </c>
      <c r="N60" s="111">
        <v>1162761.96</v>
      </c>
      <c r="O60" s="111">
        <v>1223959.25</v>
      </c>
      <c r="P60" s="111">
        <v>1083339.9100000001</v>
      </c>
      <c r="Q60" s="112">
        <f t="shared" si="0"/>
        <v>8185555.4400000004</v>
      </c>
    </row>
    <row r="61" spans="1:17" x14ac:dyDescent="0.15">
      <c r="A61" s="285"/>
      <c r="B61" s="286"/>
      <c r="C61" s="286"/>
      <c r="D61" s="98" t="s">
        <v>1</v>
      </c>
      <c r="E61" s="111">
        <v>108359.25</v>
      </c>
      <c r="F61" s="111">
        <v>117649.29999999999</v>
      </c>
      <c r="G61" s="111">
        <v>123865.05000000002</v>
      </c>
      <c r="H61" s="111">
        <v>96502.87</v>
      </c>
      <c r="I61" s="111">
        <v>102997.26999999999</v>
      </c>
      <c r="J61" s="111">
        <v>109800.81</v>
      </c>
      <c r="K61" s="111">
        <v>123758.12999999999</v>
      </c>
      <c r="L61" s="111">
        <v>127266.09</v>
      </c>
      <c r="M61" s="111">
        <v>131664.54999999999</v>
      </c>
      <c r="N61" s="111">
        <v>132336.82999999999</v>
      </c>
      <c r="O61" s="111">
        <v>141989.38999999998</v>
      </c>
      <c r="P61" s="111">
        <v>131853.21000000002</v>
      </c>
      <c r="Q61" s="112">
        <f t="shared" si="0"/>
        <v>1448042.75</v>
      </c>
    </row>
    <row r="62" spans="1:17" x14ac:dyDescent="0.15">
      <c r="A62" s="285"/>
      <c r="B62" s="286"/>
      <c r="C62" s="286" t="s">
        <v>2</v>
      </c>
      <c r="D62" s="98" t="s">
        <v>6</v>
      </c>
      <c r="E62" s="111">
        <v>673551.25</v>
      </c>
      <c r="F62" s="111">
        <v>672467.47</v>
      </c>
      <c r="G62" s="111">
        <v>687136.84</v>
      </c>
      <c r="H62" s="111">
        <v>12737.71</v>
      </c>
      <c r="I62" s="111">
        <v>559.29999999999995</v>
      </c>
      <c r="J62" s="111">
        <v>46285.17</v>
      </c>
      <c r="K62" s="111">
        <v>7580.84</v>
      </c>
      <c r="L62" s="111">
        <v>614528.16999999993</v>
      </c>
      <c r="M62" s="111">
        <v>821773.94</v>
      </c>
      <c r="N62" s="111">
        <v>872071.45</v>
      </c>
      <c r="O62" s="111">
        <v>917969.44</v>
      </c>
      <c r="P62" s="111">
        <v>812504.91999999993</v>
      </c>
      <c r="Q62" s="112">
        <f t="shared" si="0"/>
        <v>6139166.5</v>
      </c>
    </row>
    <row r="63" spans="1:17" x14ac:dyDescent="0.15">
      <c r="A63" s="285"/>
      <c r="B63" s="286"/>
      <c r="C63" s="286"/>
      <c r="D63" s="98" t="s">
        <v>1</v>
      </c>
      <c r="E63" s="111">
        <v>460214.69</v>
      </c>
      <c r="F63" s="111">
        <v>509415.3</v>
      </c>
      <c r="G63" s="111">
        <v>407364.93</v>
      </c>
      <c r="H63" s="111">
        <v>10221.39</v>
      </c>
      <c r="I63" s="111">
        <v>480.56</v>
      </c>
      <c r="J63" s="111">
        <v>50543.22</v>
      </c>
      <c r="K63" s="111">
        <v>9832.27</v>
      </c>
      <c r="L63" s="111">
        <v>500054.89</v>
      </c>
      <c r="M63" s="111">
        <v>679902.17999999993</v>
      </c>
      <c r="N63" s="111">
        <v>605001.72</v>
      </c>
      <c r="O63" s="111">
        <v>635349.35</v>
      </c>
      <c r="P63" s="111">
        <v>778994.47</v>
      </c>
      <c r="Q63" s="112">
        <f t="shared" si="0"/>
        <v>4647374.97</v>
      </c>
    </row>
    <row r="64" spans="1:17" x14ac:dyDescent="0.15">
      <c r="A64" s="285"/>
      <c r="B64" s="307" t="s">
        <v>7</v>
      </c>
      <c r="C64" s="307"/>
      <c r="D64" s="307"/>
      <c r="E64" s="111">
        <v>975.2199999998395</v>
      </c>
      <c r="F64" s="111">
        <v>-18593.30000000001</v>
      </c>
      <c r="G64" s="111">
        <v>1410275.8</v>
      </c>
      <c r="H64" s="111">
        <v>204.81999999997271</v>
      </c>
      <c r="I64" s="111">
        <v>0</v>
      </c>
      <c r="J64" s="111">
        <v>0</v>
      </c>
      <c r="K64" s="111">
        <v>-32252.300000000123</v>
      </c>
      <c r="L64" s="111">
        <v>-32252.299999999832</v>
      </c>
      <c r="M64" s="111">
        <v>0</v>
      </c>
      <c r="N64" s="111">
        <v>-49612.160000000011</v>
      </c>
      <c r="O64" s="111">
        <v>-76935.230000000156</v>
      </c>
      <c r="P64" s="111">
        <v>-149580.87000000017</v>
      </c>
      <c r="Q64" s="112">
        <f t="shared" si="0"/>
        <v>1052229.68</v>
      </c>
    </row>
    <row r="65" spans="1:17" x14ac:dyDescent="0.15">
      <c r="A65" s="285" t="s">
        <v>14</v>
      </c>
      <c r="B65" s="286" t="s">
        <v>3</v>
      </c>
      <c r="C65" s="306">
        <v>0.05</v>
      </c>
      <c r="D65" s="98" t="s">
        <v>0</v>
      </c>
      <c r="E65" s="111">
        <v>0</v>
      </c>
      <c r="F65" s="111">
        <v>0</v>
      </c>
      <c r="G65" s="111">
        <v>0</v>
      </c>
      <c r="H65" s="111"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112">
        <f t="shared" si="0"/>
        <v>0</v>
      </c>
    </row>
    <row r="66" spans="1:17" x14ac:dyDescent="0.15">
      <c r="A66" s="285"/>
      <c r="B66" s="286"/>
      <c r="C66" s="286"/>
      <c r="D66" s="98" t="s">
        <v>1</v>
      </c>
      <c r="E66" s="111">
        <v>601440.20000000007</v>
      </c>
      <c r="F66" s="111">
        <v>1011020.4600000001</v>
      </c>
      <c r="G66" s="111">
        <v>767095.8</v>
      </c>
      <c r="H66" s="111">
        <v>547557.95000000007</v>
      </c>
      <c r="I66" s="111">
        <v>611680.19999999995</v>
      </c>
      <c r="J66" s="111">
        <v>527570.4</v>
      </c>
      <c r="K66" s="111">
        <v>822777.54999999993</v>
      </c>
      <c r="L66" s="111">
        <v>765103.2</v>
      </c>
      <c r="M66" s="111">
        <v>913163.1</v>
      </c>
      <c r="N66" s="111">
        <v>590328</v>
      </c>
      <c r="O66" s="111">
        <v>847832.75999999989</v>
      </c>
      <c r="P66" s="111">
        <v>1564498.9500000002</v>
      </c>
      <c r="Q66" s="112">
        <f t="shared" si="0"/>
        <v>9570068.5700000003</v>
      </c>
    </row>
    <row r="67" spans="1:17" x14ac:dyDescent="0.15">
      <c r="A67" s="285"/>
      <c r="B67" s="286"/>
      <c r="C67" s="286" t="s">
        <v>2</v>
      </c>
      <c r="D67" s="98" t="s">
        <v>0</v>
      </c>
      <c r="E67" s="111">
        <v>0</v>
      </c>
      <c r="F67" s="111">
        <v>0</v>
      </c>
      <c r="G67" s="111">
        <v>0</v>
      </c>
      <c r="H67" s="111">
        <v>0</v>
      </c>
      <c r="I67" s="111">
        <v>0</v>
      </c>
      <c r="J67" s="111">
        <v>0</v>
      </c>
      <c r="K67" s="111">
        <v>0</v>
      </c>
      <c r="L67" s="111">
        <v>0</v>
      </c>
      <c r="M67" s="111">
        <v>0</v>
      </c>
      <c r="N67" s="111">
        <v>0</v>
      </c>
      <c r="O67" s="111">
        <v>0</v>
      </c>
      <c r="P67" s="111">
        <v>0</v>
      </c>
      <c r="Q67" s="112">
        <f t="shared" ref="Q67:Q130" si="1">SUM(E67:P67)</f>
        <v>0</v>
      </c>
    </row>
    <row r="68" spans="1:17" x14ac:dyDescent="0.15">
      <c r="A68" s="285"/>
      <c r="B68" s="286"/>
      <c r="C68" s="286"/>
      <c r="D68" s="98" t="s">
        <v>1</v>
      </c>
      <c r="E68" s="111">
        <v>262824.87</v>
      </c>
      <c r="F68" s="111">
        <v>253403.04</v>
      </c>
      <c r="G68" s="111">
        <v>231376.56</v>
      </c>
      <c r="H68" s="111">
        <v>190208.36</v>
      </c>
      <c r="I68" s="111">
        <v>256190.07999999999</v>
      </c>
      <c r="J68" s="111">
        <v>253314.78999999998</v>
      </c>
      <c r="K68" s="111">
        <v>396721.12</v>
      </c>
      <c r="L68" s="111">
        <v>302644.41999999993</v>
      </c>
      <c r="M68" s="111">
        <v>284511.25</v>
      </c>
      <c r="N68" s="111">
        <v>238283.91</v>
      </c>
      <c r="O68" s="111">
        <v>112178.45000000001</v>
      </c>
      <c r="P68" s="111">
        <v>289298.06</v>
      </c>
      <c r="Q68" s="112">
        <f t="shared" si="1"/>
        <v>3070954.91</v>
      </c>
    </row>
    <row r="69" spans="1:17" x14ac:dyDescent="0.15">
      <c r="A69" s="285"/>
      <c r="B69" s="286" t="s">
        <v>5</v>
      </c>
      <c r="C69" s="306">
        <v>0.05</v>
      </c>
      <c r="D69" s="98" t="s">
        <v>6</v>
      </c>
      <c r="E69" s="111">
        <v>0</v>
      </c>
      <c r="F69" s="111">
        <v>0</v>
      </c>
      <c r="G69" s="111">
        <v>0</v>
      </c>
      <c r="H69" s="111">
        <v>0</v>
      </c>
      <c r="I69" s="111">
        <v>0</v>
      </c>
      <c r="J69" s="111">
        <v>0</v>
      </c>
      <c r="K69" s="111">
        <v>0</v>
      </c>
      <c r="L69" s="111">
        <v>0</v>
      </c>
      <c r="M69" s="111">
        <v>0</v>
      </c>
      <c r="N69" s="111">
        <v>0</v>
      </c>
      <c r="O69" s="111">
        <v>0</v>
      </c>
      <c r="P69" s="111">
        <v>0</v>
      </c>
      <c r="Q69" s="112">
        <f t="shared" si="1"/>
        <v>0</v>
      </c>
    </row>
    <row r="70" spans="1:17" x14ac:dyDescent="0.15">
      <c r="A70" s="285"/>
      <c r="B70" s="286"/>
      <c r="C70" s="286"/>
      <c r="D70" s="98" t="s">
        <v>1</v>
      </c>
      <c r="E70" s="111">
        <v>0</v>
      </c>
      <c r="F70" s="111">
        <v>0</v>
      </c>
      <c r="G70" s="111">
        <v>0</v>
      </c>
      <c r="H70" s="111">
        <v>0</v>
      </c>
      <c r="I70" s="111">
        <v>0</v>
      </c>
      <c r="J70" s="111">
        <v>0</v>
      </c>
      <c r="K70" s="111">
        <v>0</v>
      </c>
      <c r="L70" s="111">
        <v>0</v>
      </c>
      <c r="M70" s="111">
        <v>0</v>
      </c>
      <c r="N70" s="111">
        <v>0</v>
      </c>
      <c r="O70" s="111">
        <v>0</v>
      </c>
      <c r="P70" s="111">
        <v>70442.13</v>
      </c>
      <c r="Q70" s="112">
        <f t="shared" si="1"/>
        <v>70442.13</v>
      </c>
    </row>
    <row r="71" spans="1:17" x14ac:dyDescent="0.15">
      <c r="A71" s="285"/>
      <c r="B71" s="286"/>
      <c r="C71" s="286" t="s">
        <v>2</v>
      </c>
      <c r="D71" s="98" t="s">
        <v>6</v>
      </c>
      <c r="E71" s="111">
        <v>0</v>
      </c>
      <c r="F71" s="111">
        <v>0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0</v>
      </c>
      <c r="M71" s="111">
        <v>0</v>
      </c>
      <c r="N71" s="111">
        <v>0</v>
      </c>
      <c r="O71" s="111">
        <v>0</v>
      </c>
      <c r="P71" s="111">
        <v>0</v>
      </c>
      <c r="Q71" s="112">
        <f t="shared" si="1"/>
        <v>0</v>
      </c>
    </row>
    <row r="72" spans="1:17" x14ac:dyDescent="0.15">
      <c r="A72" s="285"/>
      <c r="B72" s="286"/>
      <c r="C72" s="286"/>
      <c r="D72" s="98" t="s">
        <v>1</v>
      </c>
      <c r="E72" s="111">
        <v>0</v>
      </c>
      <c r="F72" s="111">
        <v>0</v>
      </c>
      <c r="G72" s="111">
        <v>0</v>
      </c>
      <c r="H72" s="111">
        <v>0</v>
      </c>
      <c r="I72" s="111">
        <v>0</v>
      </c>
      <c r="J72" s="111">
        <v>0</v>
      </c>
      <c r="K72" s="111">
        <v>0</v>
      </c>
      <c r="L72" s="111">
        <v>0</v>
      </c>
      <c r="M72" s="111">
        <v>0</v>
      </c>
      <c r="N72" s="111">
        <v>0</v>
      </c>
      <c r="O72" s="111">
        <v>0</v>
      </c>
      <c r="P72" s="111">
        <v>0</v>
      </c>
      <c r="Q72" s="112">
        <f t="shared" si="1"/>
        <v>0</v>
      </c>
    </row>
    <row r="73" spans="1:17" x14ac:dyDescent="0.15">
      <c r="A73" s="285"/>
      <c r="B73" s="307" t="s">
        <v>7</v>
      </c>
      <c r="C73" s="307"/>
      <c r="D73" s="307"/>
      <c r="E73" s="111">
        <v>-37200.650000000023</v>
      </c>
      <c r="F73" s="111">
        <v>-3320.2500000000077</v>
      </c>
      <c r="G73" s="111">
        <v>23971.000000000015</v>
      </c>
      <c r="H73" s="111">
        <v>193.35999999998171</v>
      </c>
      <c r="I73" s="111">
        <v>157.59999999998399</v>
      </c>
      <c r="J73" s="111">
        <v>157.59999999998399</v>
      </c>
      <c r="K73" s="111">
        <v>5072.9499999999507</v>
      </c>
      <c r="L73" s="111">
        <v>5072.9500000000235</v>
      </c>
      <c r="M73" s="111">
        <v>0</v>
      </c>
      <c r="N73" s="111">
        <v>-94786.89</v>
      </c>
      <c r="O73" s="111">
        <v>-4171.9000000000669</v>
      </c>
      <c r="P73" s="111">
        <v>-83793.960000000021</v>
      </c>
      <c r="Q73" s="112">
        <f t="shared" si="1"/>
        <v>-188648.19000000018</v>
      </c>
    </row>
    <row r="74" spans="1:17" x14ac:dyDescent="0.15">
      <c r="A74" s="285" t="s">
        <v>15</v>
      </c>
      <c r="B74" s="286" t="s">
        <v>3</v>
      </c>
      <c r="C74" s="306">
        <v>0.05</v>
      </c>
      <c r="D74" s="98" t="s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0</v>
      </c>
      <c r="O74" s="111">
        <v>0</v>
      </c>
      <c r="P74" s="111">
        <v>0</v>
      </c>
      <c r="Q74" s="112">
        <f t="shared" si="1"/>
        <v>0</v>
      </c>
    </row>
    <row r="75" spans="1:17" x14ac:dyDescent="0.15">
      <c r="A75" s="285"/>
      <c r="B75" s="286"/>
      <c r="C75" s="286"/>
      <c r="D75" s="98" t="s">
        <v>1</v>
      </c>
      <c r="E75" s="111">
        <v>0</v>
      </c>
      <c r="F75" s="111">
        <v>0</v>
      </c>
      <c r="G75" s="111">
        <v>0</v>
      </c>
      <c r="H75" s="111">
        <v>0</v>
      </c>
      <c r="I75" s="111">
        <v>0</v>
      </c>
      <c r="J75" s="111">
        <v>0</v>
      </c>
      <c r="K75" s="111">
        <v>0</v>
      </c>
      <c r="L75" s="111">
        <v>0</v>
      </c>
      <c r="M75" s="111">
        <v>0</v>
      </c>
      <c r="N75" s="111">
        <v>0</v>
      </c>
      <c r="O75" s="111">
        <v>0</v>
      </c>
      <c r="P75" s="111">
        <v>0</v>
      </c>
      <c r="Q75" s="112">
        <f t="shared" si="1"/>
        <v>0</v>
      </c>
    </row>
    <row r="76" spans="1:17" x14ac:dyDescent="0.15">
      <c r="A76" s="285"/>
      <c r="B76" s="286"/>
      <c r="C76" s="286" t="s">
        <v>2</v>
      </c>
      <c r="D76" s="98" t="s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1">
        <v>0</v>
      </c>
      <c r="M76" s="111">
        <v>0</v>
      </c>
      <c r="N76" s="111">
        <v>0</v>
      </c>
      <c r="O76" s="111">
        <v>0</v>
      </c>
      <c r="P76" s="111">
        <v>0</v>
      </c>
      <c r="Q76" s="112">
        <f t="shared" si="1"/>
        <v>0</v>
      </c>
    </row>
    <row r="77" spans="1:17" x14ac:dyDescent="0.15">
      <c r="A77" s="285"/>
      <c r="B77" s="286"/>
      <c r="C77" s="286"/>
      <c r="D77" s="98" t="s">
        <v>1</v>
      </c>
      <c r="E77" s="111">
        <v>73197.40999999996</v>
      </c>
      <c r="F77" s="111">
        <v>38550.389999999985</v>
      </c>
      <c r="G77" s="111">
        <v>66204.290000000023</v>
      </c>
      <c r="H77" s="111">
        <v>28604.539999999997</v>
      </c>
      <c r="I77" s="111">
        <v>25298.03999999999</v>
      </c>
      <c r="J77" s="111">
        <v>27638.259999999995</v>
      </c>
      <c r="K77" s="111">
        <v>63618.589999999975</v>
      </c>
      <c r="L77" s="111">
        <v>18719.379999999997</v>
      </c>
      <c r="M77" s="111">
        <v>15610.760000000004</v>
      </c>
      <c r="N77" s="111">
        <v>8525.8400000000038</v>
      </c>
      <c r="O77" s="111">
        <v>15932.230000000003</v>
      </c>
      <c r="P77" s="111">
        <v>22495.419999999995</v>
      </c>
      <c r="Q77" s="112">
        <f t="shared" si="1"/>
        <v>404395.14999999991</v>
      </c>
    </row>
    <row r="78" spans="1:17" x14ac:dyDescent="0.15">
      <c r="A78" s="285"/>
      <c r="B78" s="286" t="s">
        <v>5</v>
      </c>
      <c r="C78" s="306">
        <v>0.05</v>
      </c>
      <c r="D78" s="98" t="s">
        <v>6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11">
        <v>0</v>
      </c>
      <c r="M78" s="111">
        <v>0</v>
      </c>
      <c r="N78" s="111">
        <v>0</v>
      </c>
      <c r="O78" s="111">
        <v>0</v>
      </c>
      <c r="P78" s="111">
        <v>0</v>
      </c>
      <c r="Q78" s="112">
        <f t="shared" si="1"/>
        <v>0</v>
      </c>
    </row>
    <row r="79" spans="1:17" x14ac:dyDescent="0.15">
      <c r="A79" s="285"/>
      <c r="B79" s="286"/>
      <c r="C79" s="286"/>
      <c r="D79" s="98" t="s">
        <v>1</v>
      </c>
      <c r="E79" s="111">
        <v>0</v>
      </c>
      <c r="F79" s="111">
        <v>0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0</v>
      </c>
      <c r="M79" s="111">
        <v>0</v>
      </c>
      <c r="N79" s="111">
        <v>0</v>
      </c>
      <c r="O79" s="111">
        <v>0</v>
      </c>
      <c r="P79" s="111">
        <v>0</v>
      </c>
      <c r="Q79" s="112">
        <f t="shared" si="1"/>
        <v>0</v>
      </c>
    </row>
    <row r="80" spans="1:17" x14ac:dyDescent="0.15">
      <c r="A80" s="285"/>
      <c r="B80" s="286"/>
      <c r="C80" s="286" t="s">
        <v>2</v>
      </c>
      <c r="D80" s="98" t="s">
        <v>6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11">
        <v>0</v>
      </c>
      <c r="O80" s="111">
        <v>0</v>
      </c>
      <c r="P80" s="111">
        <v>0</v>
      </c>
      <c r="Q80" s="112">
        <f t="shared" si="1"/>
        <v>0</v>
      </c>
    </row>
    <row r="81" spans="1:17" x14ac:dyDescent="0.15">
      <c r="A81" s="285"/>
      <c r="B81" s="286"/>
      <c r="C81" s="286"/>
      <c r="D81" s="98" t="s">
        <v>1</v>
      </c>
      <c r="E81" s="111">
        <v>86496.679999999978</v>
      </c>
      <c r="F81" s="111">
        <v>83509.440000000002</v>
      </c>
      <c r="G81" s="111">
        <v>102931.42999999996</v>
      </c>
      <c r="H81" s="111">
        <v>89650.860000000015</v>
      </c>
      <c r="I81" s="111">
        <v>104553.23000000003</v>
      </c>
      <c r="J81" s="111">
        <v>108744.58000000002</v>
      </c>
      <c r="K81" s="111">
        <v>141659.64000000001</v>
      </c>
      <c r="L81" s="111">
        <v>101389.52999999997</v>
      </c>
      <c r="M81" s="111">
        <v>97822.76</v>
      </c>
      <c r="N81" s="111">
        <v>97611.27999999997</v>
      </c>
      <c r="O81" s="111">
        <v>99436.059999999969</v>
      </c>
      <c r="P81" s="111">
        <v>58298.10000000002</v>
      </c>
      <c r="Q81" s="112">
        <f t="shared" si="1"/>
        <v>1172103.5900000001</v>
      </c>
    </row>
    <row r="82" spans="1:17" x14ac:dyDescent="0.15">
      <c r="A82" s="285"/>
      <c r="B82" s="307" t="s">
        <v>7</v>
      </c>
      <c r="C82" s="307"/>
      <c r="D82" s="307"/>
      <c r="E82" s="111">
        <v>23.970000000001392</v>
      </c>
      <c r="F82" s="111">
        <v>0</v>
      </c>
      <c r="G82" s="111">
        <v>0</v>
      </c>
      <c r="H82" s="111">
        <v>35.360000000002628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11">
        <v>0</v>
      </c>
      <c r="O82" s="111">
        <v>0</v>
      </c>
      <c r="P82" s="111">
        <v>0</v>
      </c>
      <c r="Q82" s="112">
        <f t="shared" si="1"/>
        <v>59.33000000000402</v>
      </c>
    </row>
    <row r="83" spans="1:17" x14ac:dyDescent="0.15">
      <c r="A83" s="285" t="s">
        <v>16</v>
      </c>
      <c r="B83" s="286" t="s">
        <v>3</v>
      </c>
      <c r="C83" s="306">
        <v>0.05</v>
      </c>
      <c r="D83" s="98" t="s">
        <v>0</v>
      </c>
      <c r="E83" s="111">
        <v>0</v>
      </c>
      <c r="F83" s="111">
        <v>0</v>
      </c>
      <c r="G83" s="111">
        <v>0</v>
      </c>
      <c r="H83" s="111">
        <v>0</v>
      </c>
      <c r="I83" s="111">
        <v>0</v>
      </c>
      <c r="J83" s="111">
        <v>0</v>
      </c>
      <c r="K83" s="111">
        <v>0</v>
      </c>
      <c r="L83" s="111">
        <v>0</v>
      </c>
      <c r="M83" s="111">
        <v>0</v>
      </c>
      <c r="N83" s="111">
        <v>0</v>
      </c>
      <c r="O83" s="111">
        <v>0</v>
      </c>
      <c r="P83" s="111">
        <v>0</v>
      </c>
      <c r="Q83" s="112">
        <f t="shared" si="1"/>
        <v>0</v>
      </c>
    </row>
    <row r="84" spans="1:17" x14ac:dyDescent="0.15">
      <c r="A84" s="285"/>
      <c r="B84" s="286"/>
      <c r="C84" s="286"/>
      <c r="D84" s="98" t="s">
        <v>1</v>
      </c>
      <c r="E84" s="111">
        <v>3055316.4</v>
      </c>
      <c r="F84" s="111">
        <v>3381302.1100000008</v>
      </c>
      <c r="G84" s="111">
        <v>3451931.38</v>
      </c>
      <c r="H84" s="111">
        <v>2913008.6099999994</v>
      </c>
      <c r="I84" s="111">
        <v>3205204.64</v>
      </c>
      <c r="J84" s="111">
        <v>3937239</v>
      </c>
      <c r="K84" s="111">
        <v>4113887.9699999993</v>
      </c>
      <c r="L84" s="111">
        <v>4009141.1199999996</v>
      </c>
      <c r="M84" s="111">
        <v>4048356.9500000007</v>
      </c>
      <c r="N84" s="111">
        <v>4460256.95</v>
      </c>
      <c r="O84" s="111">
        <v>5546239.7999999989</v>
      </c>
      <c r="P84" s="111">
        <v>5650602.3799999999</v>
      </c>
      <c r="Q84" s="112">
        <f t="shared" si="1"/>
        <v>47772487.310000002</v>
      </c>
    </row>
    <row r="85" spans="1:17" x14ac:dyDescent="0.15">
      <c r="A85" s="285"/>
      <c r="B85" s="286"/>
      <c r="C85" s="286" t="s">
        <v>2</v>
      </c>
      <c r="D85" s="98" t="s">
        <v>0</v>
      </c>
      <c r="E85" s="111">
        <v>0</v>
      </c>
      <c r="F85" s="111">
        <v>0</v>
      </c>
      <c r="G85" s="111">
        <v>0</v>
      </c>
      <c r="H85" s="111">
        <v>0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11">
        <v>0</v>
      </c>
      <c r="O85" s="111">
        <v>0</v>
      </c>
      <c r="P85" s="111">
        <v>0</v>
      </c>
      <c r="Q85" s="112">
        <f t="shared" si="1"/>
        <v>0</v>
      </c>
    </row>
    <row r="86" spans="1:17" x14ac:dyDescent="0.15">
      <c r="A86" s="285"/>
      <c r="B86" s="286"/>
      <c r="C86" s="286"/>
      <c r="D86" s="98" t="s">
        <v>1</v>
      </c>
      <c r="E86" s="111">
        <v>656.85</v>
      </c>
      <c r="F86" s="111">
        <v>23754.98</v>
      </c>
      <c r="G86" s="111">
        <v>24408.54</v>
      </c>
      <c r="H86" s="111">
        <v>18077.5</v>
      </c>
      <c r="I86" s="111">
        <v>17474.86</v>
      </c>
      <c r="J86" s="111">
        <v>20832.009999999998</v>
      </c>
      <c r="K86" s="111">
        <v>24113.620000000003</v>
      </c>
      <c r="L86" s="111">
        <v>5292.24</v>
      </c>
      <c r="M86" s="111">
        <v>658.62</v>
      </c>
      <c r="N86" s="111">
        <v>60.55</v>
      </c>
      <c r="O86" s="111">
        <v>0</v>
      </c>
      <c r="P86" s="111">
        <v>0</v>
      </c>
      <c r="Q86" s="112">
        <f t="shared" si="1"/>
        <v>135329.76999999996</v>
      </c>
    </row>
    <row r="87" spans="1:17" x14ac:dyDescent="0.15">
      <c r="A87" s="285"/>
      <c r="B87" s="286" t="s">
        <v>5</v>
      </c>
      <c r="C87" s="306">
        <v>0.05</v>
      </c>
      <c r="D87" s="98" t="s">
        <v>6</v>
      </c>
      <c r="E87" s="111">
        <v>0</v>
      </c>
      <c r="F87" s="111">
        <v>0</v>
      </c>
      <c r="G87" s="111">
        <v>0</v>
      </c>
      <c r="H87" s="111">
        <v>0</v>
      </c>
      <c r="I87" s="111">
        <v>0</v>
      </c>
      <c r="J87" s="111">
        <v>0</v>
      </c>
      <c r="K87" s="111">
        <v>0</v>
      </c>
      <c r="L87" s="111">
        <v>0</v>
      </c>
      <c r="M87" s="111">
        <v>0</v>
      </c>
      <c r="N87" s="111">
        <v>0</v>
      </c>
      <c r="O87" s="111">
        <v>0</v>
      </c>
      <c r="P87" s="111">
        <v>0</v>
      </c>
      <c r="Q87" s="112">
        <f t="shared" si="1"/>
        <v>0</v>
      </c>
    </row>
    <row r="88" spans="1:17" x14ac:dyDescent="0.15">
      <c r="A88" s="285"/>
      <c r="B88" s="286"/>
      <c r="C88" s="286"/>
      <c r="D88" s="98" t="s">
        <v>1</v>
      </c>
      <c r="E88" s="111">
        <v>276918.09000000003</v>
      </c>
      <c r="F88" s="111">
        <v>297943.03999999998</v>
      </c>
      <c r="G88" s="111">
        <v>314426.67</v>
      </c>
      <c r="H88" s="111">
        <v>243796.72999999998</v>
      </c>
      <c r="I88" s="111">
        <v>260203.62999999998</v>
      </c>
      <c r="J88" s="111">
        <v>278262.32999999996</v>
      </c>
      <c r="K88" s="111">
        <v>315170.71000000002</v>
      </c>
      <c r="L88" s="111">
        <v>326323.30999999994</v>
      </c>
      <c r="M88" s="111">
        <v>337601.41</v>
      </c>
      <c r="N88" s="111">
        <v>381339.01999999996</v>
      </c>
      <c r="O88" s="111">
        <v>433643.27</v>
      </c>
      <c r="P88" s="111">
        <v>413621.73000000004</v>
      </c>
      <c r="Q88" s="112">
        <f t="shared" si="1"/>
        <v>3879249.94</v>
      </c>
    </row>
    <row r="89" spans="1:17" x14ac:dyDescent="0.15">
      <c r="A89" s="285"/>
      <c r="B89" s="286"/>
      <c r="C89" s="286" t="s">
        <v>2</v>
      </c>
      <c r="D89" s="98" t="s">
        <v>6</v>
      </c>
      <c r="E89" s="111">
        <v>0</v>
      </c>
      <c r="F89" s="111">
        <v>0</v>
      </c>
      <c r="G89" s="111">
        <v>0</v>
      </c>
      <c r="H89" s="111">
        <v>0</v>
      </c>
      <c r="I89" s="111">
        <v>0</v>
      </c>
      <c r="J89" s="111">
        <v>0</v>
      </c>
      <c r="K89" s="111">
        <v>0</v>
      </c>
      <c r="L89" s="111">
        <v>0</v>
      </c>
      <c r="M89" s="111">
        <v>0</v>
      </c>
      <c r="N89" s="111">
        <v>0</v>
      </c>
      <c r="O89" s="111">
        <v>0</v>
      </c>
      <c r="P89" s="111">
        <v>0</v>
      </c>
      <c r="Q89" s="112">
        <f t="shared" si="1"/>
        <v>0</v>
      </c>
    </row>
    <row r="90" spans="1:17" x14ac:dyDescent="0.15">
      <c r="A90" s="285"/>
      <c r="B90" s="286"/>
      <c r="C90" s="286"/>
      <c r="D90" s="98" t="s">
        <v>1</v>
      </c>
      <c r="E90" s="111">
        <v>493.18</v>
      </c>
      <c r="F90" s="111">
        <v>533.4</v>
      </c>
      <c r="G90" s="111">
        <v>900.18</v>
      </c>
      <c r="H90" s="111">
        <v>1121.78</v>
      </c>
      <c r="I90" s="111">
        <v>932.18999999999994</v>
      </c>
      <c r="J90" s="111">
        <v>1122.8800000000001</v>
      </c>
      <c r="K90" s="111">
        <v>1207.75</v>
      </c>
      <c r="L90" s="111">
        <v>671.23</v>
      </c>
      <c r="M90" s="111">
        <v>717.15</v>
      </c>
      <c r="N90" s="111">
        <v>249.95</v>
      </c>
      <c r="O90" s="111">
        <v>15.99</v>
      </c>
      <c r="P90" s="111">
        <v>20.43</v>
      </c>
      <c r="Q90" s="112">
        <f t="shared" si="1"/>
        <v>7986.11</v>
      </c>
    </row>
    <row r="91" spans="1:17" x14ac:dyDescent="0.15">
      <c r="A91" s="285"/>
      <c r="B91" s="307" t="s">
        <v>7</v>
      </c>
      <c r="C91" s="307"/>
      <c r="D91" s="307"/>
      <c r="E91" s="111">
        <v>-689339.77000000025</v>
      </c>
      <c r="F91" s="111">
        <v>-784248.61000000022</v>
      </c>
      <c r="G91" s="111">
        <v>-901254.05</v>
      </c>
      <c r="H91" s="111">
        <v>-687525.45999999985</v>
      </c>
      <c r="I91" s="111">
        <v>-763600.61</v>
      </c>
      <c r="J91" s="111">
        <v>-810779.54</v>
      </c>
      <c r="K91" s="111">
        <v>-989017.41000000027</v>
      </c>
      <c r="L91" s="111">
        <v>-88098.71999999987</v>
      </c>
      <c r="M91" s="111">
        <v>-972216.16</v>
      </c>
      <c r="N91" s="111">
        <v>-984991.57000000007</v>
      </c>
      <c r="O91" s="111">
        <v>-1032466.0700000001</v>
      </c>
      <c r="P91" s="111">
        <v>-1164181.5200000003</v>
      </c>
      <c r="Q91" s="112">
        <f t="shared" si="1"/>
        <v>-9867719.4900000002</v>
      </c>
    </row>
    <row r="92" spans="1:17" x14ac:dyDescent="0.15">
      <c r="A92" s="285" t="s">
        <v>17</v>
      </c>
      <c r="B92" s="286" t="s">
        <v>3</v>
      </c>
      <c r="C92" s="306">
        <v>0.05</v>
      </c>
      <c r="D92" s="98" t="s">
        <v>0</v>
      </c>
      <c r="E92" s="111">
        <v>0</v>
      </c>
      <c r="F92" s="111">
        <v>0</v>
      </c>
      <c r="G92" s="111">
        <v>0</v>
      </c>
      <c r="H92" s="111">
        <v>0</v>
      </c>
      <c r="I92" s="111">
        <v>0</v>
      </c>
      <c r="J92" s="111">
        <v>0</v>
      </c>
      <c r="K92" s="111">
        <v>0</v>
      </c>
      <c r="L92" s="111">
        <v>0</v>
      </c>
      <c r="M92" s="111">
        <v>0</v>
      </c>
      <c r="N92" s="111">
        <v>0</v>
      </c>
      <c r="O92" s="111">
        <v>0</v>
      </c>
      <c r="P92" s="111">
        <v>0</v>
      </c>
      <c r="Q92" s="112">
        <f t="shared" si="1"/>
        <v>0</v>
      </c>
    </row>
    <row r="93" spans="1:17" x14ac:dyDescent="0.15">
      <c r="A93" s="285"/>
      <c r="B93" s="286"/>
      <c r="C93" s="286"/>
      <c r="D93" s="98" t="s">
        <v>1</v>
      </c>
      <c r="E93" s="111">
        <v>2622279.41</v>
      </c>
      <c r="F93" s="111">
        <v>2999360.9600000004</v>
      </c>
      <c r="G93" s="111">
        <v>2940534.11</v>
      </c>
      <c r="H93" s="111">
        <v>2485913.33</v>
      </c>
      <c r="I93" s="111">
        <v>2740327.59</v>
      </c>
      <c r="J93" s="111">
        <v>2696471.32</v>
      </c>
      <c r="K93" s="111">
        <v>3537943.6299999994</v>
      </c>
      <c r="L93" s="111">
        <v>3427662.5999999996</v>
      </c>
      <c r="M93" s="111">
        <v>3454800.8000000007</v>
      </c>
      <c r="N93" s="111">
        <v>3050028.57</v>
      </c>
      <c r="O93" s="111">
        <v>3408994.4699999997</v>
      </c>
      <c r="P93" s="111">
        <v>3405086.0500000007</v>
      </c>
      <c r="Q93" s="112">
        <f t="shared" si="1"/>
        <v>36769402.840000004</v>
      </c>
    </row>
    <row r="94" spans="1:17" x14ac:dyDescent="0.15">
      <c r="A94" s="285"/>
      <c r="B94" s="286"/>
      <c r="C94" s="286" t="s">
        <v>2</v>
      </c>
      <c r="D94" s="98" t="s">
        <v>0</v>
      </c>
      <c r="E94" s="111">
        <v>0</v>
      </c>
      <c r="F94" s="111">
        <v>0</v>
      </c>
      <c r="G94" s="111">
        <v>0</v>
      </c>
      <c r="H94" s="111">
        <v>0</v>
      </c>
      <c r="I94" s="111">
        <v>0</v>
      </c>
      <c r="J94" s="111">
        <v>0</v>
      </c>
      <c r="K94" s="111">
        <v>0</v>
      </c>
      <c r="L94" s="111">
        <v>0</v>
      </c>
      <c r="M94" s="111">
        <v>0</v>
      </c>
      <c r="N94" s="111">
        <v>0</v>
      </c>
      <c r="O94" s="111">
        <v>0</v>
      </c>
      <c r="P94" s="111">
        <v>0</v>
      </c>
      <c r="Q94" s="112">
        <f t="shared" si="1"/>
        <v>0</v>
      </c>
    </row>
    <row r="95" spans="1:17" x14ac:dyDescent="0.15">
      <c r="A95" s="285"/>
      <c r="B95" s="286"/>
      <c r="C95" s="286"/>
      <c r="D95" s="98" t="s">
        <v>1</v>
      </c>
      <c r="E95" s="111">
        <v>820697.34000000008</v>
      </c>
      <c r="F95" s="111">
        <v>1108015</v>
      </c>
      <c r="G95" s="111">
        <v>767880.51</v>
      </c>
      <c r="H95" s="111">
        <v>1223151.49</v>
      </c>
      <c r="I95" s="111">
        <v>992055.45000000007</v>
      </c>
      <c r="J95" s="111">
        <v>1215622.6800000002</v>
      </c>
      <c r="K95" s="111">
        <v>1602425.92</v>
      </c>
      <c r="L95" s="111">
        <v>1646047.3000000003</v>
      </c>
      <c r="M95" s="111">
        <v>2447021.1599999997</v>
      </c>
      <c r="N95" s="111">
        <v>1792684.85</v>
      </c>
      <c r="O95" s="111">
        <v>2794213.7800000003</v>
      </c>
      <c r="P95" s="111">
        <v>2489974.94</v>
      </c>
      <c r="Q95" s="112">
        <f t="shared" si="1"/>
        <v>18899790.420000002</v>
      </c>
    </row>
    <row r="96" spans="1:17" x14ac:dyDescent="0.15">
      <c r="A96" s="285"/>
      <c r="B96" s="286" t="s">
        <v>5</v>
      </c>
      <c r="C96" s="306">
        <v>0.05</v>
      </c>
      <c r="D96" s="98" t="s">
        <v>6</v>
      </c>
      <c r="E96" s="111">
        <v>0</v>
      </c>
      <c r="F96" s="111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  <c r="L96" s="111">
        <v>0</v>
      </c>
      <c r="M96" s="111">
        <v>0</v>
      </c>
      <c r="N96" s="111">
        <v>0</v>
      </c>
      <c r="O96" s="111">
        <v>0</v>
      </c>
      <c r="P96" s="111">
        <v>0</v>
      </c>
      <c r="Q96" s="112">
        <f t="shared" si="1"/>
        <v>0</v>
      </c>
    </row>
    <row r="97" spans="1:17" x14ac:dyDescent="0.15">
      <c r="A97" s="285"/>
      <c r="B97" s="286"/>
      <c r="C97" s="286"/>
      <c r="D97" s="98" t="s">
        <v>1</v>
      </c>
      <c r="E97" s="111">
        <v>240798.33000000002</v>
      </c>
      <c r="F97" s="111">
        <v>262801.02999999997</v>
      </c>
      <c r="G97" s="111">
        <v>276314.34000000003</v>
      </c>
      <c r="H97" s="111">
        <v>215861.68</v>
      </c>
      <c r="I97" s="111">
        <v>230388.62999999998</v>
      </c>
      <c r="J97" s="111">
        <v>245171.66999999995</v>
      </c>
      <c r="K97" s="111">
        <v>275568.09999999998</v>
      </c>
      <c r="L97" s="111">
        <v>282269.66000000003</v>
      </c>
      <c r="M97" s="111">
        <v>292025.21999999997</v>
      </c>
      <c r="N97" s="111">
        <v>294275.31999999995</v>
      </c>
      <c r="O97" s="111">
        <v>318516.74</v>
      </c>
      <c r="P97" s="111">
        <v>294411.96000000002</v>
      </c>
      <c r="Q97" s="112">
        <f t="shared" si="1"/>
        <v>3228402.6799999997</v>
      </c>
    </row>
    <row r="98" spans="1:17" x14ac:dyDescent="0.15">
      <c r="A98" s="285"/>
      <c r="B98" s="286"/>
      <c r="C98" s="286" t="s">
        <v>2</v>
      </c>
      <c r="D98" s="98" t="s">
        <v>6</v>
      </c>
      <c r="E98" s="111">
        <v>0</v>
      </c>
      <c r="F98" s="111">
        <v>0</v>
      </c>
      <c r="G98" s="111">
        <v>0</v>
      </c>
      <c r="H98" s="111">
        <v>0</v>
      </c>
      <c r="I98" s="111">
        <v>0</v>
      </c>
      <c r="J98" s="111">
        <v>0</v>
      </c>
      <c r="K98" s="111">
        <v>0</v>
      </c>
      <c r="L98" s="111">
        <v>0</v>
      </c>
      <c r="M98" s="111">
        <v>0</v>
      </c>
      <c r="N98" s="111">
        <v>0</v>
      </c>
      <c r="O98" s="111">
        <v>0</v>
      </c>
      <c r="P98" s="111">
        <v>0</v>
      </c>
      <c r="Q98" s="112">
        <f t="shared" si="1"/>
        <v>0</v>
      </c>
    </row>
    <row r="99" spans="1:17" x14ac:dyDescent="0.15">
      <c r="A99" s="285"/>
      <c r="B99" s="286"/>
      <c r="C99" s="286"/>
      <c r="D99" s="98" t="s">
        <v>1</v>
      </c>
      <c r="E99" s="111">
        <v>102771.23</v>
      </c>
      <c r="F99" s="111">
        <v>139712.97</v>
      </c>
      <c r="G99" s="111">
        <v>78992.790000000008</v>
      </c>
      <c r="H99" s="111">
        <v>58634.9</v>
      </c>
      <c r="I99" s="111">
        <v>101718.7</v>
      </c>
      <c r="J99" s="111">
        <v>93983.25</v>
      </c>
      <c r="K99" s="111">
        <v>193433.61</v>
      </c>
      <c r="L99" s="111">
        <v>84955.98000000001</v>
      </c>
      <c r="M99" s="111">
        <v>85914.4</v>
      </c>
      <c r="N99" s="111">
        <v>114331.05000000002</v>
      </c>
      <c r="O99" s="111">
        <v>56463.74</v>
      </c>
      <c r="P99" s="111">
        <v>141388.55000000002</v>
      </c>
      <c r="Q99" s="112">
        <f t="shared" si="1"/>
        <v>1252301.1700000002</v>
      </c>
    </row>
    <row r="100" spans="1:17" x14ac:dyDescent="0.15">
      <c r="A100" s="285"/>
      <c r="B100" s="307" t="s">
        <v>7</v>
      </c>
      <c r="C100" s="307"/>
      <c r="D100" s="307"/>
      <c r="E100" s="111">
        <v>97626.179999999906</v>
      </c>
      <c r="F100" s="111">
        <v>-3984.3000000000234</v>
      </c>
      <c r="G100" s="111">
        <v>-71444.84000000004</v>
      </c>
      <c r="H100" s="111">
        <v>20341.599999999977</v>
      </c>
      <c r="I100" s="111">
        <v>189.11999999994441</v>
      </c>
      <c r="J100" s="111">
        <v>189.11999999994441</v>
      </c>
      <c r="K100" s="111">
        <v>-14278.430000000124</v>
      </c>
      <c r="L100" s="111">
        <v>-14278.429999999877</v>
      </c>
      <c r="M100" s="111">
        <v>0</v>
      </c>
      <c r="N100" s="111">
        <v>-85595.319999999978</v>
      </c>
      <c r="O100" s="111">
        <v>-53247.040000000146</v>
      </c>
      <c r="P100" s="111">
        <v>-166907.52000000008</v>
      </c>
      <c r="Q100" s="112">
        <f t="shared" si="1"/>
        <v>-291389.86000000045</v>
      </c>
    </row>
    <row r="101" spans="1:17" x14ac:dyDescent="0.15">
      <c r="A101" s="285" t="s">
        <v>18</v>
      </c>
      <c r="B101" s="286" t="s">
        <v>3</v>
      </c>
      <c r="C101" s="306">
        <v>0.05</v>
      </c>
      <c r="D101" s="98" t="s">
        <v>0</v>
      </c>
      <c r="E101" s="111">
        <v>0</v>
      </c>
      <c r="F101" s="111">
        <v>0</v>
      </c>
      <c r="G101" s="111">
        <v>0</v>
      </c>
      <c r="H101" s="111">
        <v>0</v>
      </c>
      <c r="I101" s="111">
        <v>0</v>
      </c>
      <c r="J101" s="111">
        <v>0</v>
      </c>
      <c r="K101" s="111">
        <v>0</v>
      </c>
      <c r="L101" s="111">
        <v>0</v>
      </c>
      <c r="M101" s="111">
        <v>0</v>
      </c>
      <c r="N101" s="111">
        <v>0</v>
      </c>
      <c r="O101" s="111">
        <v>0</v>
      </c>
      <c r="P101" s="111">
        <v>0</v>
      </c>
      <c r="Q101" s="112">
        <f t="shared" si="1"/>
        <v>0</v>
      </c>
    </row>
    <row r="102" spans="1:17" x14ac:dyDescent="0.15">
      <c r="A102" s="285"/>
      <c r="B102" s="286"/>
      <c r="C102" s="286"/>
      <c r="D102" s="98" t="s">
        <v>1</v>
      </c>
      <c r="E102" s="111">
        <v>240576.08000000002</v>
      </c>
      <c r="F102" s="111">
        <v>0</v>
      </c>
      <c r="G102" s="111">
        <v>0</v>
      </c>
      <c r="H102" s="111">
        <v>0</v>
      </c>
      <c r="I102" s="111">
        <v>0</v>
      </c>
      <c r="J102" s="111">
        <v>175856.80000000002</v>
      </c>
      <c r="K102" s="111">
        <v>0</v>
      </c>
      <c r="L102" s="111">
        <v>0</v>
      </c>
      <c r="M102" s="111">
        <v>0</v>
      </c>
      <c r="N102" s="111">
        <v>98388</v>
      </c>
      <c r="O102" s="111">
        <v>0</v>
      </c>
      <c r="P102" s="111">
        <v>0</v>
      </c>
      <c r="Q102" s="112">
        <f t="shared" si="1"/>
        <v>514820.88</v>
      </c>
    </row>
    <row r="103" spans="1:17" x14ac:dyDescent="0.15">
      <c r="A103" s="285"/>
      <c r="B103" s="286"/>
      <c r="C103" s="286" t="s">
        <v>2</v>
      </c>
      <c r="D103" s="98" t="s">
        <v>0</v>
      </c>
      <c r="E103" s="111">
        <v>0</v>
      </c>
      <c r="F103" s="111">
        <v>0</v>
      </c>
      <c r="G103" s="111">
        <v>0</v>
      </c>
      <c r="H103" s="111">
        <v>0</v>
      </c>
      <c r="I103" s="111">
        <v>0</v>
      </c>
      <c r="J103" s="111">
        <v>0</v>
      </c>
      <c r="K103" s="111">
        <v>0</v>
      </c>
      <c r="L103" s="111">
        <v>0</v>
      </c>
      <c r="M103" s="111">
        <v>0</v>
      </c>
      <c r="N103" s="111">
        <v>0</v>
      </c>
      <c r="O103" s="111">
        <v>0</v>
      </c>
      <c r="P103" s="111">
        <v>0</v>
      </c>
      <c r="Q103" s="112">
        <f t="shared" si="1"/>
        <v>0</v>
      </c>
    </row>
    <row r="104" spans="1:17" x14ac:dyDescent="0.15">
      <c r="A104" s="285"/>
      <c r="B104" s="286"/>
      <c r="C104" s="286"/>
      <c r="D104" s="98" t="s">
        <v>1</v>
      </c>
      <c r="E104" s="111">
        <v>2166.9300000000003</v>
      </c>
      <c r="F104" s="111">
        <v>0</v>
      </c>
      <c r="G104" s="111">
        <v>0</v>
      </c>
      <c r="H104" s="111">
        <v>0</v>
      </c>
      <c r="I104" s="111">
        <v>0</v>
      </c>
      <c r="J104" s="111">
        <v>20103.519999999997</v>
      </c>
      <c r="K104" s="111">
        <v>0</v>
      </c>
      <c r="L104" s="111">
        <v>0</v>
      </c>
      <c r="M104" s="111">
        <v>0</v>
      </c>
      <c r="N104" s="111">
        <v>7048.25</v>
      </c>
      <c r="O104" s="111">
        <v>0</v>
      </c>
      <c r="P104" s="111">
        <v>0</v>
      </c>
      <c r="Q104" s="112">
        <f t="shared" si="1"/>
        <v>29318.699999999997</v>
      </c>
    </row>
    <row r="105" spans="1:17" x14ac:dyDescent="0.15">
      <c r="A105" s="285"/>
      <c r="B105" s="286" t="s">
        <v>5</v>
      </c>
      <c r="C105" s="306">
        <v>0.05</v>
      </c>
      <c r="D105" s="98" t="s">
        <v>6</v>
      </c>
      <c r="E105" s="111">
        <v>166218.74</v>
      </c>
      <c r="F105" s="111">
        <v>186320.78</v>
      </c>
      <c r="G105" s="111">
        <v>164050.5</v>
      </c>
      <c r="H105" s="111">
        <v>147114.85999999999</v>
      </c>
      <c r="I105" s="111">
        <v>146315.19</v>
      </c>
      <c r="J105" s="111">
        <v>149996.81</v>
      </c>
      <c r="K105" s="111">
        <v>172041.22</v>
      </c>
      <c r="L105" s="111">
        <v>203923.78</v>
      </c>
      <c r="M105" s="111">
        <v>200033.32</v>
      </c>
      <c r="N105" s="111">
        <v>195589.55</v>
      </c>
      <c r="O105" s="111">
        <v>204272.73</v>
      </c>
      <c r="P105" s="111">
        <v>206164.82</v>
      </c>
      <c r="Q105" s="112">
        <f t="shared" si="1"/>
        <v>2142042.3000000003</v>
      </c>
    </row>
    <row r="106" spans="1:17" x14ac:dyDescent="0.15">
      <c r="A106" s="285"/>
      <c r="B106" s="286"/>
      <c r="C106" s="286"/>
      <c r="D106" s="98" t="s">
        <v>1</v>
      </c>
      <c r="E106" s="111">
        <v>0</v>
      </c>
      <c r="F106" s="111">
        <v>0</v>
      </c>
      <c r="G106" s="111">
        <v>0</v>
      </c>
      <c r="H106" s="111">
        <v>0</v>
      </c>
      <c r="I106" s="111">
        <v>0</v>
      </c>
      <c r="J106" s="111">
        <v>0</v>
      </c>
      <c r="K106" s="111">
        <v>0</v>
      </c>
      <c r="L106" s="111">
        <v>0</v>
      </c>
      <c r="M106" s="111">
        <v>0</v>
      </c>
      <c r="N106" s="111">
        <v>0</v>
      </c>
      <c r="O106" s="111">
        <v>0</v>
      </c>
      <c r="P106" s="111">
        <v>0</v>
      </c>
      <c r="Q106" s="112">
        <f t="shared" si="1"/>
        <v>0</v>
      </c>
    </row>
    <row r="107" spans="1:17" x14ac:dyDescent="0.15">
      <c r="A107" s="285"/>
      <c r="B107" s="286"/>
      <c r="C107" s="286" t="s">
        <v>2</v>
      </c>
      <c r="D107" s="98" t="s">
        <v>6</v>
      </c>
      <c r="E107" s="111">
        <v>0</v>
      </c>
      <c r="F107" s="111">
        <v>0</v>
      </c>
      <c r="G107" s="111">
        <v>0</v>
      </c>
      <c r="H107" s="111">
        <v>0</v>
      </c>
      <c r="I107" s="111">
        <v>0</v>
      </c>
      <c r="J107" s="111">
        <v>0</v>
      </c>
      <c r="K107" s="111">
        <v>0</v>
      </c>
      <c r="L107" s="111">
        <v>0</v>
      </c>
      <c r="M107" s="111">
        <v>0</v>
      </c>
      <c r="N107" s="111">
        <v>0</v>
      </c>
      <c r="O107" s="111">
        <v>0</v>
      </c>
      <c r="P107" s="111">
        <v>0</v>
      </c>
      <c r="Q107" s="112">
        <f t="shared" si="1"/>
        <v>0</v>
      </c>
    </row>
    <row r="108" spans="1:17" x14ac:dyDescent="0.15">
      <c r="A108" s="285"/>
      <c r="B108" s="286"/>
      <c r="C108" s="286"/>
      <c r="D108" s="98" t="s">
        <v>1</v>
      </c>
      <c r="E108" s="111">
        <v>0</v>
      </c>
      <c r="F108" s="111">
        <v>0</v>
      </c>
      <c r="G108" s="111">
        <v>0</v>
      </c>
      <c r="H108" s="111">
        <v>0</v>
      </c>
      <c r="I108" s="111">
        <v>0</v>
      </c>
      <c r="J108" s="111">
        <v>0</v>
      </c>
      <c r="K108" s="111">
        <v>0</v>
      </c>
      <c r="L108" s="111">
        <v>0</v>
      </c>
      <c r="M108" s="111">
        <v>0</v>
      </c>
      <c r="N108" s="111">
        <v>0</v>
      </c>
      <c r="O108" s="111">
        <v>0</v>
      </c>
      <c r="P108" s="111">
        <v>0</v>
      </c>
      <c r="Q108" s="112">
        <f t="shared" si="1"/>
        <v>0</v>
      </c>
    </row>
    <row r="109" spans="1:17" x14ac:dyDescent="0.15">
      <c r="A109" s="285"/>
      <c r="B109" s="307" t="s">
        <v>7</v>
      </c>
      <c r="C109" s="307"/>
      <c r="D109" s="307"/>
      <c r="E109" s="111">
        <v>-59154</v>
      </c>
      <c r="F109" s="111">
        <v>0</v>
      </c>
      <c r="G109" s="111">
        <v>0</v>
      </c>
      <c r="H109" s="111">
        <v>-5.139999999984866</v>
      </c>
      <c r="I109" s="111">
        <v>0</v>
      </c>
      <c r="J109" s="111">
        <v>0</v>
      </c>
      <c r="K109" s="111">
        <v>0</v>
      </c>
      <c r="L109" s="111">
        <v>0</v>
      </c>
      <c r="M109" s="111">
        <v>0</v>
      </c>
      <c r="N109" s="111">
        <v>-1772.010000000007</v>
      </c>
      <c r="O109" s="111">
        <v>433.15000000000003</v>
      </c>
      <c r="P109" s="111">
        <v>0</v>
      </c>
      <c r="Q109" s="112">
        <f t="shared" si="1"/>
        <v>-60497.999999999993</v>
      </c>
    </row>
    <row r="110" spans="1:17" x14ac:dyDescent="0.15">
      <c r="A110" s="285" t="s">
        <v>19</v>
      </c>
      <c r="B110" s="286" t="s">
        <v>3</v>
      </c>
      <c r="C110" s="306">
        <v>0.05</v>
      </c>
      <c r="D110" s="98" t="s">
        <v>0</v>
      </c>
      <c r="E110" s="111">
        <v>160141033.63999999</v>
      </c>
      <c r="F110" s="111">
        <v>163631227.27000001</v>
      </c>
      <c r="G110" s="111">
        <v>176657907.58000004</v>
      </c>
      <c r="H110" s="111">
        <v>150520196.25999999</v>
      </c>
      <c r="I110" s="111">
        <v>165625691.68000001</v>
      </c>
      <c r="J110" s="111">
        <v>186301877.31999999</v>
      </c>
      <c r="K110" s="111">
        <v>220329946.42000005</v>
      </c>
      <c r="L110" s="111">
        <v>216023628.60999998</v>
      </c>
      <c r="M110" s="111">
        <v>227948608.43000001</v>
      </c>
      <c r="N110" s="111">
        <v>211944750.21999997</v>
      </c>
      <c r="O110" s="111">
        <v>237276336.20999998</v>
      </c>
      <c r="P110" s="111">
        <v>250798019.15000004</v>
      </c>
      <c r="Q110" s="112">
        <f t="shared" si="1"/>
        <v>2367199222.79</v>
      </c>
    </row>
    <row r="111" spans="1:17" x14ac:dyDescent="0.15">
      <c r="A111" s="285"/>
      <c r="B111" s="286"/>
      <c r="C111" s="286"/>
      <c r="D111" s="98" t="s">
        <v>1</v>
      </c>
      <c r="E111" s="111">
        <v>3344007.65</v>
      </c>
      <c r="F111" s="111">
        <v>4010381.4200000004</v>
      </c>
      <c r="G111" s="111">
        <v>5113972.3499999996</v>
      </c>
      <c r="H111" s="111">
        <v>4325708.1999999993</v>
      </c>
      <c r="I111" s="111">
        <v>4771106.0500000007</v>
      </c>
      <c r="J111" s="111">
        <v>4640666.2</v>
      </c>
      <c r="K111" s="111">
        <v>6170831.8999999985</v>
      </c>
      <c r="L111" s="111">
        <v>5233306.24</v>
      </c>
      <c r="M111" s="111">
        <v>5265907.75</v>
      </c>
      <c r="N111" s="111">
        <v>4493052.76</v>
      </c>
      <c r="O111" s="111">
        <v>5157649.6199999992</v>
      </c>
      <c r="P111" s="111">
        <v>5098426.080000001</v>
      </c>
      <c r="Q111" s="112">
        <f t="shared" si="1"/>
        <v>57625016.219999991</v>
      </c>
    </row>
    <row r="112" spans="1:17" x14ac:dyDescent="0.15">
      <c r="A112" s="285"/>
      <c r="B112" s="286"/>
      <c r="C112" s="286" t="s">
        <v>2</v>
      </c>
      <c r="D112" s="98" t="s">
        <v>0</v>
      </c>
      <c r="E112" s="111">
        <v>116963481.06000002</v>
      </c>
      <c r="F112" s="111">
        <v>119877302.63</v>
      </c>
      <c r="G112" s="111">
        <v>129646844.49999999</v>
      </c>
      <c r="H112" s="111">
        <v>109602421.52</v>
      </c>
      <c r="I112" s="111">
        <v>120084977.59</v>
      </c>
      <c r="J112" s="111">
        <v>135588902.64999998</v>
      </c>
      <c r="K112" s="111">
        <v>160223308.09999999</v>
      </c>
      <c r="L112" s="111">
        <v>156952978.5</v>
      </c>
      <c r="M112" s="111">
        <v>166642915.14999998</v>
      </c>
      <c r="N112" s="111">
        <v>155457943.27000001</v>
      </c>
      <c r="O112" s="111">
        <v>174656173.56000003</v>
      </c>
      <c r="P112" s="111">
        <v>184228245.04999998</v>
      </c>
      <c r="Q112" s="112">
        <f t="shared" si="1"/>
        <v>1729925493.5799997</v>
      </c>
    </row>
    <row r="113" spans="1:17" x14ac:dyDescent="0.15">
      <c r="A113" s="285"/>
      <c r="B113" s="286"/>
      <c r="C113" s="286"/>
      <c r="D113" s="98" t="s">
        <v>1</v>
      </c>
      <c r="E113" s="111">
        <v>18401695.979999997</v>
      </c>
      <c r="F113" s="111">
        <v>23339744.57</v>
      </c>
      <c r="G113" s="111">
        <v>22426941.339999996</v>
      </c>
      <c r="H113" s="111">
        <v>17483784.900000002</v>
      </c>
      <c r="I113" s="111">
        <v>20104543.920000002</v>
      </c>
      <c r="J113" s="111">
        <v>20576327.270000003</v>
      </c>
      <c r="K113" s="111">
        <v>21902947.450000003</v>
      </c>
      <c r="L113" s="111">
        <v>22188666.25</v>
      </c>
      <c r="M113" s="111">
        <v>22803020.429999996</v>
      </c>
      <c r="N113" s="111">
        <v>20954169.57</v>
      </c>
      <c r="O113" s="111">
        <v>24907227.920000002</v>
      </c>
      <c r="P113" s="111">
        <v>29773953.18</v>
      </c>
      <c r="Q113" s="112">
        <f t="shared" si="1"/>
        <v>264863022.78000003</v>
      </c>
    </row>
    <row r="114" spans="1:17" x14ac:dyDescent="0.15">
      <c r="A114" s="285"/>
      <c r="B114" s="286" t="s">
        <v>5</v>
      </c>
      <c r="C114" s="306">
        <v>0.05</v>
      </c>
      <c r="D114" s="98" t="s">
        <v>6</v>
      </c>
      <c r="E114" s="111">
        <v>0</v>
      </c>
      <c r="F114" s="111">
        <v>0</v>
      </c>
      <c r="G114" s="111">
        <v>0</v>
      </c>
      <c r="H114" s="111">
        <v>0</v>
      </c>
      <c r="I114" s="111">
        <v>0</v>
      </c>
      <c r="J114" s="111">
        <v>0</v>
      </c>
      <c r="K114" s="111">
        <v>0</v>
      </c>
      <c r="L114" s="111">
        <v>0</v>
      </c>
      <c r="M114" s="111">
        <v>0</v>
      </c>
      <c r="N114" s="111">
        <v>0</v>
      </c>
      <c r="O114" s="111">
        <v>0</v>
      </c>
      <c r="P114" s="111">
        <v>0</v>
      </c>
      <c r="Q114" s="112">
        <f t="shared" si="1"/>
        <v>0</v>
      </c>
    </row>
    <row r="115" spans="1:17" x14ac:dyDescent="0.15">
      <c r="A115" s="285"/>
      <c r="B115" s="286"/>
      <c r="C115" s="286"/>
      <c r="D115" s="98" t="s">
        <v>1</v>
      </c>
      <c r="E115" s="111">
        <v>24079.83</v>
      </c>
      <c r="F115" s="111">
        <v>0</v>
      </c>
      <c r="G115" s="111">
        <v>0</v>
      </c>
      <c r="H115" s="111">
        <v>0</v>
      </c>
      <c r="I115" s="111">
        <v>0</v>
      </c>
      <c r="J115" s="111">
        <v>0</v>
      </c>
      <c r="K115" s="111">
        <v>0</v>
      </c>
      <c r="L115" s="111">
        <v>27737.48</v>
      </c>
      <c r="M115" s="111">
        <v>28696.12</v>
      </c>
      <c r="N115" s="111">
        <v>29601.66</v>
      </c>
      <c r="O115" s="111">
        <v>34537.96</v>
      </c>
      <c r="P115" s="111">
        <v>30705.54</v>
      </c>
      <c r="Q115" s="112">
        <f t="shared" si="1"/>
        <v>175358.59</v>
      </c>
    </row>
    <row r="116" spans="1:17" x14ac:dyDescent="0.15">
      <c r="A116" s="285"/>
      <c r="B116" s="286"/>
      <c r="C116" s="286" t="s">
        <v>2</v>
      </c>
      <c r="D116" s="98" t="s">
        <v>6</v>
      </c>
      <c r="E116" s="111">
        <v>0</v>
      </c>
      <c r="F116" s="111">
        <v>0</v>
      </c>
      <c r="G116" s="111">
        <v>0</v>
      </c>
      <c r="H116" s="111">
        <v>0</v>
      </c>
      <c r="I116" s="111">
        <v>0</v>
      </c>
      <c r="J116" s="111">
        <v>0</v>
      </c>
      <c r="K116" s="111">
        <v>0</v>
      </c>
      <c r="L116" s="111">
        <v>0</v>
      </c>
      <c r="M116" s="111">
        <v>0</v>
      </c>
      <c r="N116" s="111">
        <v>0</v>
      </c>
      <c r="O116" s="111">
        <v>0</v>
      </c>
      <c r="P116" s="111">
        <v>0</v>
      </c>
      <c r="Q116" s="112">
        <f t="shared" si="1"/>
        <v>0</v>
      </c>
    </row>
    <row r="117" spans="1:17" x14ac:dyDescent="0.15">
      <c r="A117" s="285"/>
      <c r="B117" s="286"/>
      <c r="C117" s="286"/>
      <c r="D117" s="98" t="s">
        <v>1</v>
      </c>
      <c r="E117" s="111">
        <v>3.22</v>
      </c>
      <c r="F117" s="111">
        <v>0</v>
      </c>
      <c r="G117" s="111">
        <v>0</v>
      </c>
      <c r="H117" s="111">
        <v>0</v>
      </c>
      <c r="I117" s="111">
        <v>0</v>
      </c>
      <c r="J117" s="111">
        <v>0</v>
      </c>
      <c r="K117" s="111">
        <v>0</v>
      </c>
      <c r="L117" s="111">
        <v>1.26</v>
      </c>
      <c r="M117" s="111">
        <v>1.99</v>
      </c>
      <c r="N117" s="111">
        <v>1.86</v>
      </c>
      <c r="O117" s="111">
        <v>3.62</v>
      </c>
      <c r="P117" s="111">
        <v>0.75</v>
      </c>
      <c r="Q117" s="112">
        <f t="shared" si="1"/>
        <v>12.7</v>
      </c>
    </row>
    <row r="118" spans="1:17" x14ac:dyDescent="0.15">
      <c r="A118" s="285"/>
      <c r="B118" s="307" t="s">
        <v>7</v>
      </c>
      <c r="C118" s="307"/>
      <c r="D118" s="307"/>
      <c r="E118" s="111">
        <v>754037.06999999809</v>
      </c>
      <c r="F118" s="111">
        <v>-11287311.380000005</v>
      </c>
      <c r="G118" s="111">
        <v>-12173268.129999999</v>
      </c>
      <c r="H118" s="111">
        <v>-3388784.419999999</v>
      </c>
      <c r="I118" s="111">
        <v>-3729460.2000000007</v>
      </c>
      <c r="J118" s="111">
        <v>-4195081.3900000006</v>
      </c>
      <c r="K118" s="111">
        <v>-4983867.4400000023</v>
      </c>
      <c r="L118" s="111">
        <v>-4886890.5200000005</v>
      </c>
      <c r="M118" s="111">
        <v>-5045717.34</v>
      </c>
      <c r="N118" s="111">
        <v>-5043929.2199999951</v>
      </c>
      <c r="O118" s="111">
        <v>-5414175.1900000004</v>
      </c>
      <c r="P118" s="111">
        <v>-5918655.79</v>
      </c>
      <c r="Q118" s="112">
        <f t="shared" si="1"/>
        <v>-65313103.95000001</v>
      </c>
    </row>
    <row r="119" spans="1:17" x14ac:dyDescent="0.15">
      <c r="A119" s="285" t="s">
        <v>24</v>
      </c>
      <c r="B119" s="286" t="s">
        <v>3</v>
      </c>
      <c r="C119" s="306">
        <v>0.05</v>
      </c>
      <c r="D119" s="98" t="s">
        <v>0</v>
      </c>
      <c r="E119" s="111">
        <v>571439.06999999995</v>
      </c>
      <c r="F119" s="111">
        <v>607773.99999999977</v>
      </c>
      <c r="G119" s="111">
        <v>630614.68999999971</v>
      </c>
      <c r="H119" s="111">
        <v>539498.59000000008</v>
      </c>
      <c r="I119" s="111">
        <v>627486.30999999971</v>
      </c>
      <c r="J119" s="111">
        <v>668075.3200000003</v>
      </c>
      <c r="K119" s="111">
        <v>793265.0500000004</v>
      </c>
      <c r="L119" s="111">
        <v>758811.93000000052</v>
      </c>
      <c r="M119" s="111">
        <v>685180.1800000004</v>
      </c>
      <c r="N119" s="111">
        <v>636259.2899999998</v>
      </c>
      <c r="O119" s="111">
        <v>715369.04999999958</v>
      </c>
      <c r="P119" s="111">
        <v>720358.66999999969</v>
      </c>
      <c r="Q119" s="112">
        <f t="shared" si="1"/>
        <v>7954132.1500000013</v>
      </c>
    </row>
    <row r="120" spans="1:17" x14ac:dyDescent="0.15">
      <c r="A120" s="285"/>
      <c r="B120" s="286"/>
      <c r="C120" s="286"/>
      <c r="D120" s="98" t="s">
        <v>1</v>
      </c>
      <c r="E120" s="111">
        <v>11812286.310000002</v>
      </c>
      <c r="F120" s="111">
        <v>12727625.720000003</v>
      </c>
      <c r="G120" s="111">
        <v>12657081.819999997</v>
      </c>
      <c r="H120" s="111">
        <v>11312548.590000004</v>
      </c>
      <c r="I120" s="111">
        <v>12429343.330000004</v>
      </c>
      <c r="J120" s="111">
        <v>13052484.68</v>
      </c>
      <c r="K120" s="111">
        <v>15879607.649999997</v>
      </c>
      <c r="L120" s="111">
        <v>15546898.520000005</v>
      </c>
      <c r="M120" s="111">
        <v>15721626.999999996</v>
      </c>
      <c r="N120" s="111">
        <v>14790999.229999999</v>
      </c>
      <c r="O120" s="111">
        <v>15737897.010000004</v>
      </c>
      <c r="P120" s="111">
        <v>16031513.590000005</v>
      </c>
      <c r="Q120" s="112">
        <f t="shared" si="1"/>
        <v>167699913.45000002</v>
      </c>
    </row>
    <row r="121" spans="1:17" x14ac:dyDescent="0.15">
      <c r="A121" s="285"/>
      <c r="B121" s="286"/>
      <c r="C121" s="286" t="s">
        <v>2</v>
      </c>
      <c r="D121" s="98" t="s">
        <v>0</v>
      </c>
      <c r="E121" s="111">
        <v>401544.97</v>
      </c>
      <c r="F121" s="111">
        <v>427710.61999999994</v>
      </c>
      <c r="G121" s="111">
        <v>444393.51</v>
      </c>
      <c r="H121" s="111">
        <v>380946.98000000004</v>
      </c>
      <c r="I121" s="111">
        <v>444146.54999999993</v>
      </c>
      <c r="J121" s="111">
        <v>474930.28</v>
      </c>
      <c r="K121" s="111">
        <v>563248.72</v>
      </c>
      <c r="L121" s="111">
        <v>541729.26</v>
      </c>
      <c r="M121" s="111">
        <v>486894.6</v>
      </c>
      <c r="N121" s="111">
        <v>450555.16</v>
      </c>
      <c r="O121" s="111">
        <v>507874.85</v>
      </c>
      <c r="P121" s="111">
        <v>511825.52000000008</v>
      </c>
      <c r="Q121" s="112">
        <f t="shared" si="1"/>
        <v>5635801.0199999996</v>
      </c>
    </row>
    <row r="122" spans="1:17" x14ac:dyDescent="0.15">
      <c r="A122" s="285"/>
      <c r="B122" s="286"/>
      <c r="C122" s="286"/>
      <c r="D122" s="98" t="s">
        <v>1</v>
      </c>
      <c r="E122" s="111">
        <v>256772.75</v>
      </c>
      <c r="F122" s="111">
        <v>284406.08</v>
      </c>
      <c r="G122" s="111">
        <v>307882.18000000005</v>
      </c>
      <c r="H122" s="111">
        <v>257700.03000000003</v>
      </c>
      <c r="I122" s="111">
        <v>318139.59999999998</v>
      </c>
      <c r="J122" s="111">
        <v>362364.70999999996</v>
      </c>
      <c r="K122" s="111">
        <v>428500.05000000005</v>
      </c>
      <c r="L122" s="111">
        <v>383852.13</v>
      </c>
      <c r="M122" s="111">
        <v>364767.1</v>
      </c>
      <c r="N122" s="111">
        <v>339459.48</v>
      </c>
      <c r="O122" s="111">
        <v>399088.73</v>
      </c>
      <c r="P122" s="111">
        <v>365417.14999999997</v>
      </c>
      <c r="Q122" s="112">
        <f t="shared" si="1"/>
        <v>4068349.99</v>
      </c>
    </row>
    <row r="123" spans="1:17" x14ac:dyDescent="0.15">
      <c r="A123" s="285"/>
      <c r="B123" s="286" t="s">
        <v>5</v>
      </c>
      <c r="C123" s="306">
        <v>0.05</v>
      </c>
      <c r="D123" s="98" t="s">
        <v>6</v>
      </c>
      <c r="E123" s="111">
        <v>2071250.1700000002</v>
      </c>
      <c r="F123" s="111">
        <v>2171330.85</v>
      </c>
      <c r="G123" s="111">
        <v>2315545.7499999995</v>
      </c>
      <c r="H123" s="111">
        <v>1967251.58</v>
      </c>
      <c r="I123" s="111">
        <v>2173747.5300000003</v>
      </c>
      <c r="J123" s="111">
        <v>2339143.4500000007</v>
      </c>
      <c r="K123" s="111">
        <v>2754319.7500000005</v>
      </c>
      <c r="L123" s="111">
        <v>2719952.3300000005</v>
      </c>
      <c r="M123" s="111">
        <v>2893224.68</v>
      </c>
      <c r="N123" s="111">
        <v>2654371.2400000007</v>
      </c>
      <c r="O123" s="111">
        <v>3082528.5799999996</v>
      </c>
      <c r="P123" s="111">
        <v>3091158.26</v>
      </c>
      <c r="Q123" s="112">
        <f t="shared" si="1"/>
        <v>30233824.170000002</v>
      </c>
    </row>
    <row r="124" spans="1:17" x14ac:dyDescent="0.15">
      <c r="A124" s="285"/>
      <c r="B124" s="286"/>
      <c r="C124" s="286"/>
      <c r="D124" s="98" t="s">
        <v>1</v>
      </c>
      <c r="E124" s="111">
        <v>1023392.9999999995</v>
      </c>
      <c r="F124" s="111">
        <v>1077178.75</v>
      </c>
      <c r="G124" s="111">
        <v>1105257.4200000004</v>
      </c>
      <c r="H124" s="111">
        <v>899000.48999999964</v>
      </c>
      <c r="I124" s="111">
        <v>959500.88999999966</v>
      </c>
      <c r="J124" s="111">
        <v>1033330.95</v>
      </c>
      <c r="K124" s="111">
        <v>1183127.7899999996</v>
      </c>
      <c r="L124" s="111">
        <v>1243291.8299999996</v>
      </c>
      <c r="M124" s="111">
        <v>1286261.3700000003</v>
      </c>
      <c r="N124" s="111">
        <v>1274612.6100000001</v>
      </c>
      <c r="O124" s="111">
        <v>1300929.8099999996</v>
      </c>
      <c r="P124" s="111">
        <v>1240865.19</v>
      </c>
      <c r="Q124" s="112">
        <f t="shared" si="1"/>
        <v>13626750.1</v>
      </c>
    </row>
    <row r="125" spans="1:17" x14ac:dyDescent="0.15">
      <c r="A125" s="285"/>
      <c r="B125" s="286"/>
      <c r="C125" s="286" t="s">
        <v>2</v>
      </c>
      <c r="D125" s="98" t="s">
        <v>6</v>
      </c>
      <c r="E125" s="111">
        <v>1315116.07</v>
      </c>
      <c r="F125" s="111">
        <v>1380323.6700000002</v>
      </c>
      <c r="G125" s="111">
        <v>1465956.8200000003</v>
      </c>
      <c r="H125" s="111">
        <v>1243020.9899999998</v>
      </c>
      <c r="I125" s="111">
        <v>1370716.08</v>
      </c>
      <c r="J125" s="111">
        <v>1472862.8199999998</v>
      </c>
      <c r="K125" s="111">
        <v>1732817.8</v>
      </c>
      <c r="L125" s="111">
        <v>1700677.6900000002</v>
      </c>
      <c r="M125" s="111">
        <v>1805436.7199999995</v>
      </c>
      <c r="N125" s="111">
        <v>1677353.7900000005</v>
      </c>
      <c r="O125" s="111">
        <v>1943281.47</v>
      </c>
      <c r="P125" s="111">
        <v>1942601.37</v>
      </c>
      <c r="Q125" s="112">
        <f t="shared" si="1"/>
        <v>19050165.290000003</v>
      </c>
    </row>
    <row r="126" spans="1:17" x14ac:dyDescent="0.15">
      <c r="A126" s="285"/>
      <c r="B126" s="286"/>
      <c r="C126" s="286"/>
      <c r="D126" s="98" t="s">
        <v>1</v>
      </c>
      <c r="E126" s="111">
        <v>642105.87999999989</v>
      </c>
      <c r="F126" s="111">
        <v>649860.91</v>
      </c>
      <c r="G126" s="111">
        <v>785913.3899999999</v>
      </c>
      <c r="H126" s="111">
        <v>680627.91999999993</v>
      </c>
      <c r="I126" s="111">
        <v>710738.76</v>
      </c>
      <c r="J126" s="111">
        <v>787076.36</v>
      </c>
      <c r="K126" s="111">
        <v>886680.46999999986</v>
      </c>
      <c r="L126" s="111">
        <v>804682.77999999991</v>
      </c>
      <c r="M126" s="111">
        <v>862570.95</v>
      </c>
      <c r="N126" s="111">
        <v>721490.72999999986</v>
      </c>
      <c r="O126" s="111">
        <v>904285.74</v>
      </c>
      <c r="P126" s="111">
        <v>888686.63000000012</v>
      </c>
      <c r="Q126" s="112">
        <f t="shared" si="1"/>
        <v>9324720.5199999996</v>
      </c>
    </row>
    <row r="127" spans="1:17" x14ac:dyDescent="0.15">
      <c r="A127" s="285"/>
      <c r="B127" s="307" t="s">
        <v>7</v>
      </c>
      <c r="C127" s="307"/>
      <c r="D127" s="307"/>
      <c r="E127" s="111">
        <v>-383202.45000000013</v>
      </c>
      <c r="F127" s="111">
        <v>-840363.91000000038</v>
      </c>
      <c r="G127" s="111">
        <v>-1309026.8900000006</v>
      </c>
      <c r="H127" s="111">
        <v>-619328.32999999973</v>
      </c>
      <c r="I127" s="111">
        <v>-736268.19000000006</v>
      </c>
      <c r="J127" s="111">
        <v>-780171.47000000009</v>
      </c>
      <c r="K127" s="111">
        <v>-1035987.0500000005</v>
      </c>
      <c r="L127" s="111">
        <v>-1018137.1199999993</v>
      </c>
      <c r="M127" s="111">
        <v>-926639.97000000009</v>
      </c>
      <c r="N127" s="111">
        <v>1528328.91</v>
      </c>
      <c r="O127" s="111">
        <v>-1197623.3900000006</v>
      </c>
      <c r="P127" s="111">
        <v>-1497914.9100000004</v>
      </c>
      <c r="Q127" s="112">
        <f t="shared" si="1"/>
        <v>-8816334.7700000014</v>
      </c>
    </row>
    <row r="128" spans="1:17" x14ac:dyDescent="0.15">
      <c r="A128" s="285" t="s">
        <v>20</v>
      </c>
      <c r="B128" s="286" t="s">
        <v>3</v>
      </c>
      <c r="C128" s="306">
        <v>0.05</v>
      </c>
      <c r="D128" s="98" t="s">
        <v>0</v>
      </c>
      <c r="E128" s="111">
        <v>0</v>
      </c>
      <c r="F128" s="111">
        <v>0</v>
      </c>
      <c r="G128" s="111">
        <v>0</v>
      </c>
      <c r="H128" s="111">
        <v>0</v>
      </c>
      <c r="I128" s="111">
        <v>0</v>
      </c>
      <c r="J128" s="111">
        <v>0</v>
      </c>
      <c r="K128" s="111">
        <v>0</v>
      </c>
      <c r="L128" s="111">
        <v>0</v>
      </c>
      <c r="M128" s="111">
        <v>0</v>
      </c>
      <c r="N128" s="111">
        <v>0</v>
      </c>
      <c r="O128" s="111">
        <v>0</v>
      </c>
      <c r="P128" s="111">
        <v>0</v>
      </c>
      <c r="Q128" s="112">
        <f t="shared" si="1"/>
        <v>0</v>
      </c>
    </row>
    <row r="129" spans="1:17" x14ac:dyDescent="0.15">
      <c r="A129" s="285"/>
      <c r="B129" s="286"/>
      <c r="C129" s="286"/>
      <c r="D129" s="98" t="s">
        <v>1</v>
      </c>
      <c r="E129" s="111">
        <v>1948666.3399999999</v>
      </c>
      <c r="F129" s="111">
        <v>1606399.35</v>
      </c>
      <c r="G129" s="111">
        <v>1662041.04</v>
      </c>
      <c r="H129" s="111">
        <v>1511260.0999999999</v>
      </c>
      <c r="I129" s="111">
        <v>1663770.34</v>
      </c>
      <c r="J129" s="111">
        <v>2032123.2799999998</v>
      </c>
      <c r="K129" s="111">
        <v>1974666.23</v>
      </c>
      <c r="L129" s="111">
        <v>1928060.2399999998</v>
      </c>
      <c r="M129" s="111">
        <v>1948081.5500000003</v>
      </c>
      <c r="N129" s="111">
        <v>2295720.38</v>
      </c>
      <c r="O129" s="111">
        <v>1942950.2399999998</v>
      </c>
      <c r="P129" s="111">
        <v>2760880.6500000004</v>
      </c>
      <c r="Q129" s="112">
        <f t="shared" si="1"/>
        <v>23274619.740000002</v>
      </c>
    </row>
    <row r="130" spans="1:17" x14ac:dyDescent="0.15">
      <c r="A130" s="285"/>
      <c r="B130" s="286"/>
      <c r="C130" s="286" t="s">
        <v>2</v>
      </c>
      <c r="D130" s="98" t="s">
        <v>0</v>
      </c>
      <c r="E130" s="111">
        <v>0</v>
      </c>
      <c r="F130" s="111">
        <v>0</v>
      </c>
      <c r="G130" s="111">
        <v>0</v>
      </c>
      <c r="H130" s="111">
        <v>0</v>
      </c>
      <c r="I130" s="111">
        <v>0</v>
      </c>
      <c r="J130" s="111">
        <v>0</v>
      </c>
      <c r="K130" s="111">
        <v>0</v>
      </c>
      <c r="L130" s="111">
        <v>0</v>
      </c>
      <c r="M130" s="111">
        <v>0</v>
      </c>
      <c r="N130" s="111">
        <v>0</v>
      </c>
      <c r="O130" s="111">
        <v>0</v>
      </c>
      <c r="P130" s="111">
        <v>0</v>
      </c>
      <c r="Q130" s="112">
        <f t="shared" si="1"/>
        <v>0</v>
      </c>
    </row>
    <row r="131" spans="1:17" x14ac:dyDescent="0.15">
      <c r="A131" s="285"/>
      <c r="B131" s="286"/>
      <c r="C131" s="286"/>
      <c r="D131" s="98" t="s">
        <v>1</v>
      </c>
      <c r="E131" s="111">
        <v>5933167.6100000003</v>
      </c>
      <c r="F131" s="111">
        <v>3437303.3500000006</v>
      </c>
      <c r="G131" s="111">
        <v>6147933.8099999996</v>
      </c>
      <c r="H131" s="111">
        <v>4253201.93</v>
      </c>
      <c r="I131" s="111">
        <v>3510162.3200000003</v>
      </c>
      <c r="J131" s="111">
        <v>5537203.0800000001</v>
      </c>
      <c r="K131" s="111">
        <v>5494528.1200000001</v>
      </c>
      <c r="L131" s="111">
        <v>5721396.1799999997</v>
      </c>
      <c r="M131" s="111">
        <v>5425752.9199999999</v>
      </c>
      <c r="N131" s="111">
        <v>7527065.4199999999</v>
      </c>
      <c r="O131" s="111">
        <v>5143540.18</v>
      </c>
      <c r="P131" s="111">
        <v>6304920.0999999996</v>
      </c>
      <c r="Q131" s="112">
        <f t="shared" ref="Q131:Q163" si="2">SUM(E131:P131)</f>
        <v>64436175.020000003</v>
      </c>
    </row>
    <row r="132" spans="1:17" x14ac:dyDescent="0.15">
      <c r="A132" s="285"/>
      <c r="B132" s="286" t="s">
        <v>5</v>
      </c>
      <c r="C132" s="306">
        <v>0.05</v>
      </c>
      <c r="D132" s="98" t="s">
        <v>6</v>
      </c>
      <c r="E132" s="111">
        <v>0</v>
      </c>
      <c r="F132" s="111">
        <v>0</v>
      </c>
      <c r="G132" s="111">
        <v>0</v>
      </c>
      <c r="H132" s="111">
        <v>0</v>
      </c>
      <c r="I132" s="111">
        <v>0</v>
      </c>
      <c r="J132" s="111">
        <v>0</v>
      </c>
      <c r="K132" s="111">
        <v>0</v>
      </c>
      <c r="L132" s="111">
        <v>0</v>
      </c>
      <c r="M132" s="111">
        <v>0</v>
      </c>
      <c r="N132" s="111">
        <v>0</v>
      </c>
      <c r="O132" s="111">
        <v>0</v>
      </c>
      <c r="P132" s="111">
        <v>0</v>
      </c>
      <c r="Q132" s="112">
        <f t="shared" si="2"/>
        <v>0</v>
      </c>
    </row>
    <row r="133" spans="1:17" x14ac:dyDescent="0.15">
      <c r="A133" s="285"/>
      <c r="B133" s="286"/>
      <c r="C133" s="286"/>
      <c r="D133" s="98" t="s">
        <v>1</v>
      </c>
      <c r="E133" s="111">
        <v>0</v>
      </c>
      <c r="F133" s="111">
        <v>0</v>
      </c>
      <c r="G133" s="111">
        <v>0</v>
      </c>
      <c r="H133" s="111">
        <v>0</v>
      </c>
      <c r="I133" s="111">
        <v>0</v>
      </c>
      <c r="J133" s="111">
        <v>0</v>
      </c>
      <c r="K133" s="111">
        <v>0</v>
      </c>
      <c r="L133" s="111">
        <v>0</v>
      </c>
      <c r="M133" s="111">
        <v>0</v>
      </c>
      <c r="N133" s="111">
        <v>0</v>
      </c>
      <c r="O133" s="111">
        <v>180364.9</v>
      </c>
      <c r="P133" s="111">
        <v>0</v>
      </c>
      <c r="Q133" s="112">
        <f t="shared" si="2"/>
        <v>180364.9</v>
      </c>
    </row>
    <row r="134" spans="1:17" x14ac:dyDescent="0.15">
      <c r="A134" s="285"/>
      <c r="B134" s="286"/>
      <c r="C134" s="286" t="s">
        <v>2</v>
      </c>
      <c r="D134" s="98" t="s">
        <v>6</v>
      </c>
      <c r="E134" s="111">
        <v>0</v>
      </c>
      <c r="F134" s="111">
        <v>0</v>
      </c>
      <c r="G134" s="111">
        <v>0</v>
      </c>
      <c r="H134" s="111">
        <v>0</v>
      </c>
      <c r="I134" s="111">
        <v>0</v>
      </c>
      <c r="J134" s="111">
        <v>0</v>
      </c>
      <c r="K134" s="111">
        <v>0</v>
      </c>
      <c r="L134" s="111">
        <v>0</v>
      </c>
      <c r="M134" s="111">
        <v>0</v>
      </c>
      <c r="N134" s="111">
        <v>0</v>
      </c>
      <c r="O134" s="111">
        <v>0</v>
      </c>
      <c r="P134" s="111">
        <v>0</v>
      </c>
      <c r="Q134" s="112">
        <f t="shared" si="2"/>
        <v>0</v>
      </c>
    </row>
    <row r="135" spans="1:17" x14ac:dyDescent="0.15">
      <c r="A135" s="285"/>
      <c r="B135" s="286"/>
      <c r="C135" s="286"/>
      <c r="D135" s="98" t="s">
        <v>1</v>
      </c>
      <c r="E135" s="111">
        <v>0</v>
      </c>
      <c r="F135" s="111">
        <v>0</v>
      </c>
      <c r="G135" s="111">
        <v>0</v>
      </c>
      <c r="H135" s="111">
        <v>0</v>
      </c>
      <c r="I135" s="111">
        <v>0</v>
      </c>
      <c r="J135" s="111">
        <v>0</v>
      </c>
      <c r="K135" s="111">
        <v>0</v>
      </c>
      <c r="L135" s="111">
        <v>0</v>
      </c>
      <c r="M135" s="111">
        <v>0</v>
      </c>
      <c r="N135" s="111">
        <v>0</v>
      </c>
      <c r="O135" s="111">
        <v>30471.5</v>
      </c>
      <c r="P135" s="111">
        <v>0</v>
      </c>
      <c r="Q135" s="112">
        <f t="shared" si="2"/>
        <v>30471.5</v>
      </c>
    </row>
    <row r="136" spans="1:17" x14ac:dyDescent="0.15">
      <c r="A136" s="285"/>
      <c r="B136" s="307" t="s">
        <v>7</v>
      </c>
      <c r="C136" s="307"/>
      <c r="D136" s="307"/>
      <c r="E136" s="111">
        <v>-115834.83000000002</v>
      </c>
      <c r="F136" s="111">
        <v>-19257.350000000013</v>
      </c>
      <c r="G136" s="111">
        <v>-57329.859999999964</v>
      </c>
      <c r="H136" s="111">
        <v>-89131.029999999984</v>
      </c>
      <c r="I136" s="111">
        <v>63.039999999993597</v>
      </c>
      <c r="J136" s="111">
        <v>63.039999999993597</v>
      </c>
      <c r="K136" s="111">
        <v>-10871.74000000006</v>
      </c>
      <c r="L136" s="111">
        <v>-10871.739999999929</v>
      </c>
      <c r="M136" s="111">
        <v>0</v>
      </c>
      <c r="N136" s="111">
        <v>-89041.260000000038</v>
      </c>
      <c r="O136" s="111">
        <v>-28916.020000000062</v>
      </c>
      <c r="P136" s="111">
        <v>-72006.320000000065</v>
      </c>
      <c r="Q136" s="112">
        <f t="shared" si="2"/>
        <v>-493134.07000000012</v>
      </c>
    </row>
    <row r="137" spans="1:17" x14ac:dyDescent="0.15">
      <c r="A137" s="285" t="s">
        <v>21</v>
      </c>
      <c r="B137" s="286" t="s">
        <v>3</v>
      </c>
      <c r="C137" s="306">
        <v>0.05</v>
      </c>
      <c r="D137" s="98" t="s">
        <v>0</v>
      </c>
      <c r="E137" s="111">
        <v>0</v>
      </c>
      <c r="F137" s="111">
        <v>0</v>
      </c>
      <c r="G137" s="111">
        <v>0</v>
      </c>
      <c r="H137" s="111">
        <v>0</v>
      </c>
      <c r="I137" s="111">
        <v>0</v>
      </c>
      <c r="J137" s="111">
        <v>0</v>
      </c>
      <c r="K137" s="111">
        <v>0</v>
      </c>
      <c r="L137" s="111">
        <v>0</v>
      </c>
      <c r="M137" s="111">
        <v>0</v>
      </c>
      <c r="N137" s="111">
        <v>0</v>
      </c>
      <c r="O137" s="111">
        <v>0</v>
      </c>
      <c r="P137" s="111">
        <v>0</v>
      </c>
      <c r="Q137" s="112">
        <f t="shared" si="2"/>
        <v>0</v>
      </c>
    </row>
    <row r="138" spans="1:17" x14ac:dyDescent="0.15">
      <c r="A138" s="285"/>
      <c r="B138" s="286"/>
      <c r="C138" s="286"/>
      <c r="D138" s="98" t="s">
        <v>1</v>
      </c>
      <c r="E138" s="111">
        <v>1756205.4300000002</v>
      </c>
      <c r="F138" s="111">
        <v>718947.97000000009</v>
      </c>
      <c r="G138" s="111">
        <v>767095.87</v>
      </c>
      <c r="H138" s="111">
        <v>646118.46</v>
      </c>
      <c r="I138" s="111">
        <v>709549.13</v>
      </c>
      <c r="J138" s="111">
        <v>1543632.0399999998</v>
      </c>
      <c r="K138" s="111">
        <v>905055.36</v>
      </c>
      <c r="L138" s="111">
        <v>887519.79999999993</v>
      </c>
      <c r="M138" s="111">
        <v>897943.85000000009</v>
      </c>
      <c r="N138" s="111">
        <v>1738188.19</v>
      </c>
      <c r="O138" s="111">
        <v>900822.3899999999</v>
      </c>
      <c r="P138" s="111">
        <v>920293.55</v>
      </c>
      <c r="Q138" s="112">
        <f t="shared" si="2"/>
        <v>12391372.040000001</v>
      </c>
    </row>
    <row r="139" spans="1:17" x14ac:dyDescent="0.15">
      <c r="A139" s="285"/>
      <c r="B139" s="286"/>
      <c r="C139" s="286" t="s">
        <v>2</v>
      </c>
      <c r="D139" s="98" t="s">
        <v>0</v>
      </c>
      <c r="E139" s="111">
        <v>0</v>
      </c>
      <c r="F139" s="111">
        <v>0</v>
      </c>
      <c r="G139" s="111">
        <v>0</v>
      </c>
      <c r="H139" s="111">
        <v>0</v>
      </c>
      <c r="I139" s="111">
        <v>0</v>
      </c>
      <c r="J139" s="111">
        <v>0</v>
      </c>
      <c r="K139" s="111">
        <v>0</v>
      </c>
      <c r="L139" s="111">
        <v>0</v>
      </c>
      <c r="M139" s="111">
        <v>0</v>
      </c>
      <c r="N139" s="111">
        <v>0</v>
      </c>
      <c r="O139" s="111">
        <v>0</v>
      </c>
      <c r="P139" s="111">
        <v>0</v>
      </c>
      <c r="Q139" s="112">
        <f t="shared" si="2"/>
        <v>0</v>
      </c>
    </row>
    <row r="140" spans="1:17" x14ac:dyDescent="0.15">
      <c r="A140" s="285"/>
      <c r="B140" s="286"/>
      <c r="C140" s="286"/>
      <c r="D140" s="98" t="s">
        <v>1</v>
      </c>
      <c r="E140" s="111">
        <v>3159192.7399999998</v>
      </c>
      <c r="F140" s="111">
        <v>3530897.3800000004</v>
      </c>
      <c r="G140" s="111">
        <v>2876436.0799999996</v>
      </c>
      <c r="H140" s="111">
        <v>3176541.1099999994</v>
      </c>
      <c r="I140" s="111">
        <v>3259857.43</v>
      </c>
      <c r="J140" s="111">
        <v>4426448.8899999997</v>
      </c>
      <c r="K140" s="111">
        <v>5342066.040000001</v>
      </c>
      <c r="L140" s="111">
        <v>5213868.8500000006</v>
      </c>
      <c r="M140" s="111">
        <v>5532179.7000000002</v>
      </c>
      <c r="N140" s="111">
        <v>7030154.1500000004</v>
      </c>
      <c r="O140" s="111">
        <v>6545552.0299999993</v>
      </c>
      <c r="P140" s="111">
        <v>6106557.0499999989</v>
      </c>
      <c r="Q140" s="112">
        <f t="shared" si="2"/>
        <v>56199751.450000003</v>
      </c>
    </row>
    <row r="141" spans="1:17" x14ac:dyDescent="0.15">
      <c r="A141" s="285"/>
      <c r="B141" s="286" t="s">
        <v>5</v>
      </c>
      <c r="C141" s="306">
        <v>0.05</v>
      </c>
      <c r="D141" s="98" t="s">
        <v>6</v>
      </c>
      <c r="E141" s="111">
        <v>0</v>
      </c>
      <c r="F141" s="111">
        <v>0</v>
      </c>
      <c r="G141" s="111">
        <v>0</v>
      </c>
      <c r="H141" s="111">
        <v>0</v>
      </c>
      <c r="I141" s="111">
        <v>0</v>
      </c>
      <c r="J141" s="111">
        <v>0</v>
      </c>
      <c r="K141" s="111">
        <v>0</v>
      </c>
      <c r="L141" s="111">
        <v>0</v>
      </c>
      <c r="M141" s="111">
        <v>0</v>
      </c>
      <c r="N141" s="111">
        <v>0</v>
      </c>
      <c r="O141" s="111">
        <v>0</v>
      </c>
      <c r="P141" s="111">
        <v>0</v>
      </c>
      <c r="Q141" s="112">
        <f t="shared" si="2"/>
        <v>0</v>
      </c>
    </row>
    <row r="142" spans="1:17" x14ac:dyDescent="0.15">
      <c r="A142" s="285"/>
      <c r="B142" s="286"/>
      <c r="C142" s="286"/>
      <c r="D142" s="98" t="s">
        <v>1</v>
      </c>
      <c r="E142" s="111">
        <v>0</v>
      </c>
      <c r="F142" s="111">
        <v>0</v>
      </c>
      <c r="G142" s="111">
        <v>0</v>
      </c>
      <c r="H142" s="111">
        <v>0</v>
      </c>
      <c r="I142" s="111">
        <v>0</v>
      </c>
      <c r="J142" s="111">
        <v>0</v>
      </c>
      <c r="K142" s="111">
        <v>0</v>
      </c>
      <c r="L142" s="111">
        <v>0</v>
      </c>
      <c r="M142" s="111">
        <v>0</v>
      </c>
      <c r="N142" s="111">
        <v>0</v>
      </c>
      <c r="O142" s="111">
        <v>0</v>
      </c>
      <c r="P142" s="111">
        <v>0</v>
      </c>
      <c r="Q142" s="112">
        <f t="shared" si="2"/>
        <v>0</v>
      </c>
    </row>
    <row r="143" spans="1:17" x14ac:dyDescent="0.15">
      <c r="A143" s="285"/>
      <c r="B143" s="286"/>
      <c r="C143" s="286" t="s">
        <v>2</v>
      </c>
      <c r="D143" s="98" t="s">
        <v>6</v>
      </c>
      <c r="E143" s="111">
        <v>0</v>
      </c>
      <c r="F143" s="111">
        <v>0</v>
      </c>
      <c r="G143" s="111">
        <v>0</v>
      </c>
      <c r="H143" s="111">
        <v>0</v>
      </c>
      <c r="I143" s="111">
        <v>0</v>
      </c>
      <c r="J143" s="111">
        <v>0</v>
      </c>
      <c r="K143" s="111">
        <v>0</v>
      </c>
      <c r="L143" s="111">
        <v>0</v>
      </c>
      <c r="M143" s="111">
        <v>0</v>
      </c>
      <c r="N143" s="111">
        <v>0</v>
      </c>
      <c r="O143" s="111">
        <v>0</v>
      </c>
      <c r="P143" s="111">
        <v>0</v>
      </c>
      <c r="Q143" s="112">
        <f t="shared" si="2"/>
        <v>0</v>
      </c>
    </row>
    <row r="144" spans="1:17" x14ac:dyDescent="0.15">
      <c r="A144" s="285"/>
      <c r="B144" s="286"/>
      <c r="C144" s="286"/>
      <c r="D144" s="98" t="s">
        <v>1</v>
      </c>
      <c r="E144" s="111">
        <v>0</v>
      </c>
      <c r="F144" s="111">
        <v>0</v>
      </c>
      <c r="G144" s="111">
        <v>0</v>
      </c>
      <c r="H144" s="111">
        <v>0</v>
      </c>
      <c r="I144" s="111">
        <v>0</v>
      </c>
      <c r="J144" s="111">
        <v>0</v>
      </c>
      <c r="K144" s="111">
        <v>0</v>
      </c>
      <c r="L144" s="111">
        <v>0</v>
      </c>
      <c r="M144" s="111">
        <v>0</v>
      </c>
      <c r="N144" s="111">
        <v>0</v>
      </c>
      <c r="O144" s="111">
        <v>0</v>
      </c>
      <c r="P144" s="111">
        <v>0</v>
      </c>
      <c r="Q144" s="112">
        <f t="shared" si="2"/>
        <v>0</v>
      </c>
    </row>
    <row r="145" spans="1:17" x14ac:dyDescent="0.15">
      <c r="A145" s="285"/>
      <c r="B145" s="307" t="s">
        <v>7</v>
      </c>
      <c r="C145" s="307"/>
      <c r="D145" s="307"/>
      <c r="E145" s="111">
        <v>-227457.97000000003</v>
      </c>
      <c r="F145" s="111">
        <v>-9296.6500000000051</v>
      </c>
      <c r="G145" s="111">
        <v>-34824.829999999987</v>
      </c>
      <c r="H145" s="111">
        <v>120.58000000003724</v>
      </c>
      <c r="I145" s="111">
        <v>0</v>
      </c>
      <c r="J145" s="111">
        <v>0</v>
      </c>
      <c r="K145" s="111">
        <v>-6450.4600000000246</v>
      </c>
      <c r="L145" s="111">
        <v>-6450.4599999999664</v>
      </c>
      <c r="M145" s="111">
        <v>0</v>
      </c>
      <c r="N145" s="111">
        <v>-61802.170000000056</v>
      </c>
      <c r="O145" s="111">
        <v>-11182.030000000028</v>
      </c>
      <c r="P145" s="111">
        <v>-29020.330000000031</v>
      </c>
      <c r="Q145" s="112">
        <f t="shared" si="2"/>
        <v>-386364.32000000007</v>
      </c>
    </row>
    <row r="146" spans="1:17" x14ac:dyDescent="0.15">
      <c r="A146" s="285" t="s">
        <v>25</v>
      </c>
      <c r="B146" s="286" t="s">
        <v>3</v>
      </c>
      <c r="C146" s="306">
        <v>0.05</v>
      </c>
      <c r="D146" s="98" t="s">
        <v>0</v>
      </c>
      <c r="E146" s="111">
        <v>709670.90000000014</v>
      </c>
      <c r="F146" s="111">
        <v>753308.27000000025</v>
      </c>
      <c r="G146" s="111">
        <v>783048.12</v>
      </c>
      <c r="H146" s="111">
        <v>632451.60000000009</v>
      </c>
      <c r="I146" s="111">
        <v>660229.7899999998</v>
      </c>
      <c r="J146" s="111">
        <v>593621.07000000018</v>
      </c>
      <c r="K146" s="111">
        <v>860590.67999999982</v>
      </c>
      <c r="L146" s="111">
        <v>827823.99999999988</v>
      </c>
      <c r="M146" s="111">
        <v>862280.27000000014</v>
      </c>
      <c r="N146" s="111">
        <v>879134.8600000001</v>
      </c>
      <c r="O146" s="111">
        <v>944318.08999999985</v>
      </c>
      <c r="P146" s="111">
        <v>920160.28000000014</v>
      </c>
      <c r="Q146" s="112">
        <f t="shared" si="2"/>
        <v>9426637.9300000016</v>
      </c>
    </row>
    <row r="147" spans="1:17" x14ac:dyDescent="0.15">
      <c r="A147" s="285"/>
      <c r="B147" s="286"/>
      <c r="C147" s="286"/>
      <c r="D147" s="98" t="s">
        <v>1</v>
      </c>
      <c r="E147" s="111">
        <v>9911735.1400000006</v>
      </c>
      <c r="F147" s="111">
        <v>10739285.220000003</v>
      </c>
      <c r="G147" s="111">
        <v>11250739.379999999</v>
      </c>
      <c r="H147" s="111">
        <v>9483704.8000000007</v>
      </c>
      <c r="I147" s="111">
        <v>10423031.98</v>
      </c>
      <c r="J147" s="111">
        <v>11547931.800000001</v>
      </c>
      <c r="K147" s="111">
        <v>14069496.929999998</v>
      </c>
      <c r="L147" s="111">
        <v>14506358.080000004</v>
      </c>
      <c r="M147" s="111">
        <v>16467376.999999994</v>
      </c>
      <c r="N147" s="111">
        <v>16299615.609999998</v>
      </c>
      <c r="O147" s="111">
        <v>17256930.870000005</v>
      </c>
      <c r="P147" s="111">
        <v>17614418.530000005</v>
      </c>
      <c r="Q147" s="112">
        <f t="shared" si="2"/>
        <v>159570625.34</v>
      </c>
    </row>
    <row r="148" spans="1:17" x14ac:dyDescent="0.15">
      <c r="A148" s="285"/>
      <c r="B148" s="286"/>
      <c r="C148" s="286" t="s">
        <v>2</v>
      </c>
      <c r="D148" s="98" t="s">
        <v>0</v>
      </c>
      <c r="E148" s="111">
        <v>500410.9</v>
      </c>
      <c r="F148" s="111">
        <v>528772.02</v>
      </c>
      <c r="G148" s="111">
        <v>549865.6100000001</v>
      </c>
      <c r="H148" s="111">
        <v>444940.44999999995</v>
      </c>
      <c r="I148" s="111">
        <v>461839.04999999993</v>
      </c>
      <c r="J148" s="111">
        <v>413037.25</v>
      </c>
      <c r="K148" s="111">
        <v>608309.94999999995</v>
      </c>
      <c r="L148" s="111">
        <v>581755.82999999996</v>
      </c>
      <c r="M148" s="111">
        <v>606806.15</v>
      </c>
      <c r="N148" s="111">
        <v>617170.13</v>
      </c>
      <c r="O148" s="111">
        <v>663015.93999999994</v>
      </c>
      <c r="P148" s="111">
        <v>641880.39999999991</v>
      </c>
      <c r="Q148" s="112">
        <f t="shared" si="2"/>
        <v>6617803.6800000016</v>
      </c>
    </row>
    <row r="149" spans="1:17" x14ac:dyDescent="0.15">
      <c r="A149" s="285"/>
      <c r="B149" s="286"/>
      <c r="C149" s="286"/>
      <c r="D149" s="98" t="s">
        <v>1</v>
      </c>
      <c r="E149" s="111">
        <v>110095.59</v>
      </c>
      <c r="F149" s="111">
        <v>160538.17000000001</v>
      </c>
      <c r="G149" s="111">
        <v>151045.62</v>
      </c>
      <c r="H149" s="111">
        <v>151681.26999999999</v>
      </c>
      <c r="I149" s="111">
        <v>136141.95000000001</v>
      </c>
      <c r="J149" s="111">
        <v>145295.15000000002</v>
      </c>
      <c r="K149" s="111">
        <v>188002.18000000002</v>
      </c>
      <c r="L149" s="111">
        <v>187481.32</v>
      </c>
      <c r="M149" s="111">
        <v>160744.08000000002</v>
      </c>
      <c r="N149" s="111">
        <v>195062.87</v>
      </c>
      <c r="O149" s="111">
        <v>257668.68999999997</v>
      </c>
      <c r="P149" s="111">
        <v>499874.00999999995</v>
      </c>
      <c r="Q149" s="112">
        <f t="shared" si="2"/>
        <v>2343630.9</v>
      </c>
    </row>
    <row r="150" spans="1:17" x14ac:dyDescent="0.15">
      <c r="A150" s="285"/>
      <c r="B150" s="286" t="s">
        <v>5</v>
      </c>
      <c r="C150" s="306">
        <v>0.05</v>
      </c>
      <c r="D150" s="98" t="s">
        <v>6</v>
      </c>
      <c r="E150" s="111">
        <v>907089.78</v>
      </c>
      <c r="F150" s="111">
        <v>951844.97000000009</v>
      </c>
      <c r="G150" s="111">
        <v>1015208.2599999999</v>
      </c>
      <c r="H150" s="111">
        <v>823198.36999999988</v>
      </c>
      <c r="I150" s="111">
        <v>844792.97</v>
      </c>
      <c r="J150" s="111">
        <v>859586.89</v>
      </c>
      <c r="K150" s="111">
        <v>998346.55999999971</v>
      </c>
      <c r="L150" s="111">
        <v>989988.12999999977</v>
      </c>
      <c r="M150" s="111">
        <v>1026485.28</v>
      </c>
      <c r="N150" s="111">
        <v>983759.4</v>
      </c>
      <c r="O150" s="111">
        <v>1043268.2300000001</v>
      </c>
      <c r="P150" s="111">
        <v>1016653.7400000001</v>
      </c>
      <c r="Q150" s="112">
        <f t="shared" si="2"/>
        <v>11460222.58</v>
      </c>
    </row>
    <row r="151" spans="1:17" x14ac:dyDescent="0.15">
      <c r="A151" s="285"/>
      <c r="B151" s="286"/>
      <c r="C151" s="286"/>
      <c r="D151" s="98" t="s">
        <v>1</v>
      </c>
      <c r="E151" s="111">
        <v>939113.57999999973</v>
      </c>
      <c r="F151" s="111">
        <v>924387.44</v>
      </c>
      <c r="G151" s="111">
        <v>981392.37000000034</v>
      </c>
      <c r="H151" s="111">
        <v>751706.62999999989</v>
      </c>
      <c r="I151" s="111">
        <v>856503.61999999988</v>
      </c>
      <c r="J151" s="111">
        <v>923530.1399999999</v>
      </c>
      <c r="K151" s="111">
        <v>1059369.6599999997</v>
      </c>
      <c r="L151" s="111">
        <v>1088288.26</v>
      </c>
      <c r="M151" s="111">
        <v>1274445.3200000003</v>
      </c>
      <c r="N151" s="111">
        <v>1302472.99</v>
      </c>
      <c r="O151" s="111">
        <v>1308604.9099999997</v>
      </c>
      <c r="P151" s="111">
        <v>1258927.29</v>
      </c>
      <c r="Q151" s="112">
        <f t="shared" si="2"/>
        <v>12668742.210000001</v>
      </c>
    </row>
    <row r="152" spans="1:17" x14ac:dyDescent="0.15">
      <c r="A152" s="285"/>
      <c r="B152" s="286"/>
      <c r="C152" s="286" t="s">
        <v>2</v>
      </c>
      <c r="D152" s="98" t="s">
        <v>6</v>
      </c>
      <c r="E152" s="111">
        <v>641258.04</v>
      </c>
      <c r="F152" s="111">
        <v>673484.23</v>
      </c>
      <c r="G152" s="111">
        <v>719725.50000000023</v>
      </c>
      <c r="H152" s="111">
        <v>584982.54</v>
      </c>
      <c r="I152" s="111">
        <v>599984.37000000011</v>
      </c>
      <c r="J152" s="111">
        <v>608441.92999999993</v>
      </c>
      <c r="K152" s="111">
        <v>703128.49999999988</v>
      </c>
      <c r="L152" s="111">
        <v>695543.69000000018</v>
      </c>
      <c r="M152" s="111">
        <v>723044.94</v>
      </c>
      <c r="N152" s="111">
        <v>691375.52999999991</v>
      </c>
      <c r="O152" s="111">
        <v>732148.77000000014</v>
      </c>
      <c r="P152" s="111">
        <v>711700.91000000015</v>
      </c>
      <c r="Q152" s="112">
        <f t="shared" si="2"/>
        <v>8084818.9500000011</v>
      </c>
    </row>
    <row r="153" spans="1:17" x14ac:dyDescent="0.15">
      <c r="A153" s="285"/>
      <c r="B153" s="286"/>
      <c r="C153" s="286"/>
      <c r="D153" s="98" t="s">
        <v>1</v>
      </c>
      <c r="E153" s="111">
        <v>257311.3</v>
      </c>
      <c r="F153" s="111">
        <v>338425.02999999997</v>
      </c>
      <c r="G153" s="111">
        <v>306759.63</v>
      </c>
      <c r="H153" s="111">
        <v>258995.68999999997</v>
      </c>
      <c r="I153" s="111">
        <v>290692.96999999997</v>
      </c>
      <c r="J153" s="111">
        <v>275798.73</v>
      </c>
      <c r="K153" s="111">
        <v>328830.59999999998</v>
      </c>
      <c r="L153" s="111">
        <v>262165.15999999997</v>
      </c>
      <c r="M153" s="111">
        <v>254248.72000000003</v>
      </c>
      <c r="N153" s="111">
        <v>334839.01</v>
      </c>
      <c r="O153" s="111">
        <v>311390.31</v>
      </c>
      <c r="P153" s="111">
        <v>210798.66000000003</v>
      </c>
      <c r="Q153" s="112">
        <f t="shared" si="2"/>
        <v>3430255.81</v>
      </c>
    </row>
    <row r="154" spans="1:17" x14ac:dyDescent="0.15">
      <c r="A154" s="285"/>
      <c r="B154" s="307" t="s">
        <v>7</v>
      </c>
      <c r="C154" s="307"/>
      <c r="D154" s="307"/>
      <c r="E154" s="111">
        <v>-141244.72000000018</v>
      </c>
      <c r="F154" s="111">
        <v>-308749.61000000022</v>
      </c>
      <c r="G154" s="111">
        <v>-375584.15000000043</v>
      </c>
      <c r="H154" s="111">
        <v>10102.990000000076</v>
      </c>
      <c r="I154" s="111">
        <v>157.6000000000131</v>
      </c>
      <c r="J154" s="111">
        <v>157.59999999998399</v>
      </c>
      <c r="K154" s="111">
        <v>-86248.080000000409</v>
      </c>
      <c r="L154" s="111">
        <v>-86248.079999999434</v>
      </c>
      <c r="M154" s="111">
        <v>0</v>
      </c>
      <c r="N154" s="111">
        <v>213325.07999999943</v>
      </c>
      <c r="O154" s="111">
        <v>671198.26999999955</v>
      </c>
      <c r="P154" s="111">
        <v>-607585.39000000025</v>
      </c>
      <c r="Q154" s="112">
        <f t="shared" si="2"/>
        <v>-710718.49000000197</v>
      </c>
    </row>
    <row r="155" spans="1:17" x14ac:dyDescent="0.15">
      <c r="A155" s="285" t="s">
        <v>22</v>
      </c>
      <c r="B155" s="286" t="s">
        <v>3</v>
      </c>
      <c r="C155" s="306">
        <v>0.05</v>
      </c>
      <c r="D155" s="98" t="s">
        <v>0</v>
      </c>
      <c r="E155" s="111">
        <v>26400325.520000003</v>
      </c>
      <c r="F155" s="111">
        <v>33829459.879999995</v>
      </c>
      <c r="G155" s="111">
        <v>35198416.500000007</v>
      </c>
      <c r="H155" s="111">
        <v>30131099.300000004</v>
      </c>
      <c r="I155" s="111">
        <v>32017751.939999998</v>
      </c>
      <c r="J155" s="111">
        <v>29910021.410000004</v>
      </c>
      <c r="K155" s="111">
        <v>40880246.430000007</v>
      </c>
      <c r="L155" s="111">
        <v>40152443.699999988</v>
      </c>
      <c r="M155" s="111">
        <v>41559877.720000006</v>
      </c>
      <c r="N155" s="111">
        <v>40265514.770000003</v>
      </c>
      <c r="O155" s="111">
        <v>45855542.750000015</v>
      </c>
      <c r="P155" s="111">
        <v>46434060.659999996</v>
      </c>
      <c r="Q155" s="112">
        <f t="shared" si="2"/>
        <v>442634760.58000004</v>
      </c>
    </row>
    <row r="156" spans="1:17" x14ac:dyDescent="0.15">
      <c r="A156" s="285"/>
      <c r="B156" s="286"/>
      <c r="C156" s="286"/>
      <c r="D156" s="98" t="s">
        <v>1</v>
      </c>
      <c r="E156" s="111">
        <v>4186023.93</v>
      </c>
      <c r="F156" s="111">
        <v>4178884.8300000015</v>
      </c>
      <c r="G156" s="111">
        <v>4474725.7799999984</v>
      </c>
      <c r="H156" s="111">
        <v>3789101.3299999991</v>
      </c>
      <c r="I156" s="111">
        <v>4183892.96</v>
      </c>
      <c r="J156" s="111">
        <v>4503888.5600000005</v>
      </c>
      <c r="K156" s="111">
        <v>5265776.5399999982</v>
      </c>
      <c r="L156" s="111">
        <v>5233306.2399999993</v>
      </c>
      <c r="M156" s="111">
        <v>5265907.75</v>
      </c>
      <c r="N156" s="111">
        <v>5083380.76</v>
      </c>
      <c r="O156" s="111">
        <v>5917166.5499999989</v>
      </c>
      <c r="P156" s="111">
        <v>6681331.0199999996</v>
      </c>
      <c r="Q156" s="112">
        <f t="shared" si="2"/>
        <v>58763386.25</v>
      </c>
    </row>
    <row r="157" spans="1:17" x14ac:dyDescent="0.15">
      <c r="A157" s="285"/>
      <c r="B157" s="286"/>
      <c r="C157" s="286" t="s">
        <v>2</v>
      </c>
      <c r="D157" s="98" t="s">
        <v>0</v>
      </c>
      <c r="E157" s="111">
        <v>19308075.299999997</v>
      </c>
      <c r="F157" s="111">
        <v>24879638.950000003</v>
      </c>
      <c r="G157" s="111">
        <v>25823919.68</v>
      </c>
      <c r="H157" s="111">
        <v>22181930.84</v>
      </c>
      <c r="I157" s="111">
        <v>23581160.250000004</v>
      </c>
      <c r="J157" s="111">
        <v>21960005.740000002</v>
      </c>
      <c r="K157" s="111">
        <v>30211021.359999999</v>
      </c>
      <c r="L157" s="111">
        <v>29661738.420000002</v>
      </c>
      <c r="M157" s="111">
        <v>30783323.120000001</v>
      </c>
      <c r="N157" s="111">
        <v>30082712.170000002</v>
      </c>
      <c r="O157" s="111">
        <v>34006259.850000001</v>
      </c>
      <c r="P157" s="111">
        <v>34287693.140000001</v>
      </c>
      <c r="Q157" s="112">
        <f t="shared" si="2"/>
        <v>326767478.82000005</v>
      </c>
    </row>
    <row r="158" spans="1:17" x14ac:dyDescent="0.15">
      <c r="A158" s="285"/>
      <c r="B158" s="286"/>
      <c r="C158" s="286"/>
      <c r="D158" s="98" t="s">
        <v>1</v>
      </c>
      <c r="E158" s="111">
        <v>21161332.280000001</v>
      </c>
      <c r="F158" s="111">
        <v>20228047.149999999</v>
      </c>
      <c r="G158" s="111">
        <v>22208920.949999999</v>
      </c>
      <c r="H158" s="111">
        <v>20683758.43</v>
      </c>
      <c r="I158" s="111">
        <v>22494852.300000001</v>
      </c>
      <c r="J158" s="111">
        <v>24262772.299999997</v>
      </c>
      <c r="K158" s="111">
        <v>31213969.830000006</v>
      </c>
      <c r="L158" s="111">
        <v>29226385.799999997</v>
      </c>
      <c r="M158" s="111">
        <v>31200167.43</v>
      </c>
      <c r="N158" s="111">
        <v>25931307.329999998</v>
      </c>
      <c r="O158" s="111">
        <v>30162099.689999998</v>
      </c>
      <c r="P158" s="111">
        <v>30114580.200000003</v>
      </c>
      <c r="Q158" s="112">
        <f t="shared" si="2"/>
        <v>308888193.69</v>
      </c>
    </row>
    <row r="159" spans="1:17" x14ac:dyDescent="0.15">
      <c r="A159" s="285"/>
      <c r="B159" s="286" t="s">
        <v>5</v>
      </c>
      <c r="C159" s="306">
        <v>0.05</v>
      </c>
      <c r="D159" s="98" t="s">
        <v>6</v>
      </c>
      <c r="E159" s="111">
        <v>0</v>
      </c>
      <c r="F159" s="111">
        <v>0</v>
      </c>
      <c r="G159" s="111">
        <v>0</v>
      </c>
      <c r="H159" s="111">
        <v>0</v>
      </c>
      <c r="I159" s="111">
        <v>0</v>
      </c>
      <c r="J159" s="111">
        <v>0</v>
      </c>
      <c r="K159" s="111">
        <v>0</v>
      </c>
      <c r="L159" s="111">
        <v>0</v>
      </c>
      <c r="M159" s="111">
        <v>0</v>
      </c>
      <c r="N159" s="111">
        <v>0</v>
      </c>
      <c r="O159" s="111">
        <v>0</v>
      </c>
      <c r="P159" s="111">
        <v>0</v>
      </c>
      <c r="Q159" s="112">
        <f t="shared" si="2"/>
        <v>0</v>
      </c>
    </row>
    <row r="160" spans="1:17" x14ac:dyDescent="0.15">
      <c r="A160" s="285"/>
      <c r="B160" s="286"/>
      <c r="C160" s="286"/>
      <c r="D160" s="98" t="s">
        <v>1</v>
      </c>
      <c r="E160" s="111">
        <v>0</v>
      </c>
      <c r="F160" s="111">
        <v>0</v>
      </c>
      <c r="G160" s="111">
        <v>0</v>
      </c>
      <c r="H160" s="111">
        <v>0</v>
      </c>
      <c r="I160" s="111">
        <v>0</v>
      </c>
      <c r="J160" s="111">
        <v>0</v>
      </c>
      <c r="K160" s="111">
        <v>0</v>
      </c>
      <c r="L160" s="111">
        <v>0</v>
      </c>
      <c r="M160" s="111">
        <v>0</v>
      </c>
      <c r="N160" s="111">
        <v>0</v>
      </c>
      <c r="O160" s="111">
        <v>72913.47</v>
      </c>
      <c r="P160" s="111">
        <v>70442.13</v>
      </c>
      <c r="Q160" s="112">
        <f t="shared" si="2"/>
        <v>143355.6</v>
      </c>
    </row>
    <row r="161" spans="1:17" x14ac:dyDescent="0.15">
      <c r="A161" s="285"/>
      <c r="B161" s="286"/>
      <c r="C161" s="286" t="s">
        <v>2</v>
      </c>
      <c r="D161" s="98" t="s">
        <v>6</v>
      </c>
      <c r="E161" s="111">
        <v>0</v>
      </c>
      <c r="F161" s="111">
        <v>0</v>
      </c>
      <c r="G161" s="111">
        <v>0</v>
      </c>
      <c r="H161" s="111">
        <v>0</v>
      </c>
      <c r="I161" s="111">
        <v>0</v>
      </c>
      <c r="J161" s="111">
        <v>0</v>
      </c>
      <c r="K161" s="111">
        <v>0</v>
      </c>
      <c r="L161" s="111">
        <v>0</v>
      </c>
      <c r="M161" s="111">
        <v>0</v>
      </c>
      <c r="N161" s="111">
        <v>0</v>
      </c>
      <c r="O161" s="111">
        <v>0</v>
      </c>
      <c r="P161" s="111">
        <v>0</v>
      </c>
      <c r="Q161" s="112">
        <f t="shared" si="2"/>
        <v>0</v>
      </c>
    </row>
    <row r="162" spans="1:17" x14ac:dyDescent="0.15">
      <c r="A162" s="285"/>
      <c r="B162" s="286"/>
      <c r="C162" s="286"/>
      <c r="D162" s="98" t="s">
        <v>1</v>
      </c>
      <c r="E162" s="111">
        <v>0</v>
      </c>
      <c r="F162" s="111">
        <v>0</v>
      </c>
      <c r="G162" s="111">
        <v>0</v>
      </c>
      <c r="H162" s="111">
        <v>0</v>
      </c>
      <c r="I162" s="111">
        <v>0</v>
      </c>
      <c r="J162" s="111">
        <v>0</v>
      </c>
      <c r="K162" s="111">
        <v>0</v>
      </c>
      <c r="L162" s="111">
        <v>0</v>
      </c>
      <c r="M162" s="111">
        <v>0</v>
      </c>
      <c r="N162" s="111">
        <v>0</v>
      </c>
      <c r="O162" s="111">
        <v>0</v>
      </c>
      <c r="P162" s="111">
        <v>0</v>
      </c>
      <c r="Q162" s="112">
        <f t="shared" si="2"/>
        <v>0</v>
      </c>
    </row>
    <row r="163" spans="1:17" x14ac:dyDescent="0.15">
      <c r="A163" s="285"/>
      <c r="B163" s="307" t="s">
        <v>7</v>
      </c>
      <c r="C163" s="307"/>
      <c r="D163" s="307"/>
      <c r="E163" s="111">
        <v>-206747.1400000008</v>
      </c>
      <c r="F163" s="111">
        <v>-27225.950000000572</v>
      </c>
      <c r="G163" s="111">
        <v>-32829.469999999899</v>
      </c>
      <c r="H163" s="111">
        <v>1089.6800000001201</v>
      </c>
      <c r="I163" s="111">
        <v>378.23999999996886</v>
      </c>
      <c r="J163" s="111">
        <v>378.23999999999069</v>
      </c>
      <c r="K163" s="111">
        <v>-14641.350000000835</v>
      </c>
      <c r="L163" s="111">
        <v>-14641.349999999184</v>
      </c>
      <c r="M163" s="111">
        <v>0</v>
      </c>
      <c r="N163" s="111">
        <v>-291941.35999999987</v>
      </c>
      <c r="O163" s="111">
        <v>-67853.73</v>
      </c>
      <c r="P163" s="111">
        <v>357287.60999999987</v>
      </c>
      <c r="Q163" s="112">
        <f t="shared" si="2"/>
        <v>-296746.58000000124</v>
      </c>
    </row>
    <row r="164" spans="1:17" x14ac:dyDescent="0.15">
      <c r="A164" s="301" t="s">
        <v>28</v>
      </c>
      <c r="B164" s="302"/>
      <c r="C164" s="302"/>
      <c r="D164" s="303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>
        <f>SUM(Q2:Q163)</f>
        <v>7881316439.0900002</v>
      </c>
    </row>
    <row r="165" spans="1:17" x14ac:dyDescent="0.15"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</row>
    <row r="166" spans="1:17" x14ac:dyDescent="0.15"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1"/>
    </row>
    <row r="167" spans="1:17" x14ac:dyDescent="0.15"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1"/>
    </row>
    <row r="168" spans="1:17" x14ac:dyDescent="0.15">
      <c r="A168" s="114" t="s">
        <v>76</v>
      </c>
      <c r="B168" s="114" t="s">
        <v>206</v>
      </c>
      <c r="C168" s="114" t="s">
        <v>128</v>
      </c>
      <c r="D168" s="114" t="s">
        <v>207</v>
      </c>
      <c r="E168" s="114" t="s">
        <v>28</v>
      </c>
      <c r="F168" s="114" t="s">
        <v>76</v>
      </c>
      <c r="G168" s="114" t="s">
        <v>206</v>
      </c>
      <c r="H168" s="114" t="s">
        <v>128</v>
      </c>
      <c r="I168" s="114" t="s">
        <v>207</v>
      </c>
      <c r="J168" s="114" t="s">
        <v>28</v>
      </c>
      <c r="K168" s="120"/>
      <c r="L168" s="120"/>
      <c r="M168" s="120"/>
      <c r="N168" s="120"/>
      <c r="O168" s="120"/>
      <c r="P168" s="120"/>
      <c r="Q168" s="121"/>
    </row>
    <row r="169" spans="1:17" x14ac:dyDescent="0.15">
      <c r="A169" s="285" t="s">
        <v>4</v>
      </c>
      <c r="B169" s="286" t="s">
        <v>3</v>
      </c>
      <c r="C169" s="306">
        <v>0.05</v>
      </c>
      <c r="D169" s="98" t="s">
        <v>208</v>
      </c>
      <c r="E169" s="82">
        <v>800788.5199999999</v>
      </c>
      <c r="F169" s="285" t="s">
        <v>10</v>
      </c>
      <c r="G169" s="286" t="s">
        <v>3</v>
      </c>
      <c r="H169" s="306">
        <v>0.05</v>
      </c>
      <c r="I169" s="98" t="s">
        <v>208</v>
      </c>
      <c r="J169" s="82">
        <v>16260640.079999994</v>
      </c>
      <c r="K169" s="120"/>
      <c r="L169" s="120"/>
      <c r="M169" s="120"/>
      <c r="N169" s="120"/>
      <c r="O169" s="120"/>
      <c r="P169" s="120"/>
      <c r="Q169" s="121"/>
    </row>
    <row r="170" spans="1:17" x14ac:dyDescent="0.15">
      <c r="A170" s="285"/>
      <c r="B170" s="286"/>
      <c r="C170" s="286"/>
      <c r="D170" s="98" t="s">
        <v>23</v>
      </c>
      <c r="E170" s="82">
        <v>98397694.920000002</v>
      </c>
      <c r="F170" s="285"/>
      <c r="G170" s="286"/>
      <c r="H170" s="286"/>
      <c r="I170" s="98" t="s">
        <v>23</v>
      </c>
      <c r="J170" s="82">
        <v>209396171.06999999</v>
      </c>
      <c r="K170" s="120"/>
      <c r="L170" s="120"/>
      <c r="M170" s="120"/>
      <c r="N170" s="120"/>
      <c r="O170" s="120"/>
      <c r="P170" s="120"/>
      <c r="Q170" s="121"/>
    </row>
    <row r="171" spans="1:17" x14ac:dyDescent="0.15">
      <c r="A171" s="285"/>
      <c r="B171" s="286"/>
      <c r="C171" s="286" t="s">
        <v>2</v>
      </c>
      <c r="D171" s="98" t="s">
        <v>208</v>
      </c>
      <c r="E171" s="82">
        <v>516510.54000000004</v>
      </c>
      <c r="F171" s="285"/>
      <c r="G171" s="286"/>
      <c r="H171" s="286" t="s">
        <v>2</v>
      </c>
      <c r="I171" s="98" t="s">
        <v>208</v>
      </c>
      <c r="J171" s="82">
        <v>6125282.8599999994</v>
      </c>
      <c r="K171" s="120"/>
      <c r="L171" s="120"/>
      <c r="M171" s="120"/>
      <c r="N171" s="120"/>
      <c r="O171" s="120"/>
      <c r="P171" s="120"/>
      <c r="Q171" s="121"/>
    </row>
    <row r="172" spans="1:17" x14ac:dyDescent="0.15">
      <c r="A172" s="285"/>
      <c r="B172" s="286"/>
      <c r="C172" s="286"/>
      <c r="D172" s="98" t="s">
        <v>23</v>
      </c>
      <c r="E172" s="82">
        <v>1422755.7799999998</v>
      </c>
      <c r="F172" s="285"/>
      <c r="G172" s="286"/>
      <c r="H172" s="286"/>
      <c r="I172" s="98" t="s">
        <v>23</v>
      </c>
      <c r="J172" s="82">
        <v>66516396.189999998</v>
      </c>
      <c r="K172" s="120"/>
      <c r="L172" s="120"/>
      <c r="M172" s="120"/>
      <c r="N172" s="120"/>
      <c r="O172" s="120"/>
      <c r="P172" s="120"/>
      <c r="Q172" s="121"/>
    </row>
    <row r="173" spans="1:17" x14ac:dyDescent="0.15">
      <c r="A173" s="285"/>
      <c r="B173" s="286" t="s">
        <v>5</v>
      </c>
      <c r="C173" s="306">
        <v>0.05</v>
      </c>
      <c r="D173" s="98" t="s">
        <v>209</v>
      </c>
      <c r="E173" s="82">
        <v>4067247.79</v>
      </c>
      <c r="F173" s="285"/>
      <c r="G173" s="286" t="s">
        <v>5</v>
      </c>
      <c r="H173" s="306">
        <v>0.05</v>
      </c>
      <c r="I173" s="98" t="s">
        <v>209</v>
      </c>
      <c r="J173" s="82">
        <v>29882479.210000001</v>
      </c>
      <c r="K173" s="120"/>
      <c r="L173" s="120"/>
      <c r="M173" s="120"/>
      <c r="N173" s="120"/>
      <c r="O173" s="120"/>
      <c r="P173" s="120"/>
      <c r="Q173" s="121"/>
    </row>
    <row r="174" spans="1:17" x14ac:dyDescent="0.15">
      <c r="A174" s="285"/>
      <c r="B174" s="286"/>
      <c r="C174" s="286"/>
      <c r="D174" s="98" t="s">
        <v>23</v>
      </c>
      <c r="E174" s="82">
        <v>7904526.0299999984</v>
      </c>
      <c r="F174" s="285"/>
      <c r="G174" s="286"/>
      <c r="H174" s="286"/>
      <c r="I174" s="98" t="s">
        <v>23</v>
      </c>
      <c r="J174" s="82">
        <v>11928331.809999999</v>
      </c>
      <c r="K174" s="120"/>
      <c r="L174" s="120"/>
      <c r="M174" s="120"/>
      <c r="N174" s="120"/>
      <c r="O174" s="120"/>
      <c r="P174" s="120"/>
      <c r="Q174" s="121"/>
    </row>
    <row r="175" spans="1:17" x14ac:dyDescent="0.15">
      <c r="A175" s="285"/>
      <c r="B175" s="286"/>
      <c r="C175" s="286" t="s">
        <v>2</v>
      </c>
      <c r="D175" s="98" t="s">
        <v>209</v>
      </c>
      <c r="E175" s="82">
        <v>2614164.9500000002</v>
      </c>
      <c r="F175" s="285"/>
      <c r="G175" s="286"/>
      <c r="H175" s="286" t="s">
        <v>2</v>
      </c>
      <c r="I175" s="98" t="s">
        <v>209</v>
      </c>
      <c r="J175" s="82">
        <v>19100117.350000001</v>
      </c>
      <c r="K175" s="120"/>
      <c r="L175" s="120"/>
      <c r="M175" s="120"/>
      <c r="N175" s="120"/>
      <c r="O175" s="120"/>
      <c r="P175" s="120"/>
      <c r="Q175" s="121"/>
    </row>
    <row r="176" spans="1:17" x14ac:dyDescent="0.15">
      <c r="A176" s="285"/>
      <c r="B176" s="286"/>
      <c r="C176" s="286"/>
      <c r="D176" s="98" t="s">
        <v>23</v>
      </c>
      <c r="E176" s="82">
        <v>2104608.0099999998</v>
      </c>
      <c r="F176" s="285"/>
      <c r="G176" s="286"/>
      <c r="H176" s="286"/>
      <c r="I176" s="98" t="s">
        <v>23</v>
      </c>
      <c r="J176" s="82">
        <v>6999764.25</v>
      </c>
      <c r="K176" s="120"/>
      <c r="L176" s="120"/>
      <c r="M176" s="120"/>
      <c r="N176" s="120"/>
      <c r="O176" s="120"/>
      <c r="P176" s="120"/>
      <c r="Q176" s="121"/>
    </row>
    <row r="177" spans="1:17" x14ac:dyDescent="0.15">
      <c r="A177" s="285"/>
      <c r="B177" s="307" t="s">
        <v>7</v>
      </c>
      <c r="C177" s="307"/>
      <c r="D177" s="307"/>
      <c r="E177" s="82">
        <v>-2464833.1100000013</v>
      </c>
      <c r="F177" s="285"/>
      <c r="G177" s="307" t="s">
        <v>7</v>
      </c>
      <c r="H177" s="307"/>
      <c r="I177" s="307"/>
      <c r="J177" s="82">
        <v>-2044309.9500000027</v>
      </c>
      <c r="K177" s="120"/>
      <c r="L177" s="120"/>
      <c r="M177" s="120"/>
      <c r="N177" s="120"/>
      <c r="O177" s="120"/>
      <c r="P177" s="120"/>
      <c r="Q177" s="121"/>
    </row>
    <row r="178" spans="1:17" x14ac:dyDescent="0.15">
      <c r="A178" s="285" t="s">
        <v>8</v>
      </c>
      <c r="B178" s="286" t="s">
        <v>3</v>
      </c>
      <c r="C178" s="306">
        <v>0.05</v>
      </c>
      <c r="D178" s="98" t="s">
        <v>208</v>
      </c>
      <c r="E178" s="82">
        <v>0</v>
      </c>
      <c r="F178" s="285" t="s">
        <v>11</v>
      </c>
      <c r="G178" s="286" t="s">
        <v>3</v>
      </c>
      <c r="H178" s="306">
        <v>0.05</v>
      </c>
      <c r="I178" s="98" t="s">
        <v>208</v>
      </c>
      <c r="J178" s="82">
        <v>5946840.1699999999</v>
      </c>
      <c r="K178" s="120"/>
      <c r="L178" s="120"/>
      <c r="M178" s="120"/>
      <c r="N178" s="120"/>
      <c r="O178" s="120"/>
      <c r="P178" s="120"/>
      <c r="Q178" s="121"/>
    </row>
    <row r="179" spans="1:17" x14ac:dyDescent="0.15">
      <c r="A179" s="285"/>
      <c r="B179" s="286"/>
      <c r="C179" s="286"/>
      <c r="D179" s="98" t="s">
        <v>23</v>
      </c>
      <c r="E179" s="82">
        <v>38386499.210000001</v>
      </c>
      <c r="F179" s="285"/>
      <c r="G179" s="286"/>
      <c r="H179" s="286"/>
      <c r="I179" s="98" t="s">
        <v>23</v>
      </c>
      <c r="J179" s="82">
        <v>89616024.010000005</v>
      </c>
      <c r="K179" s="120"/>
      <c r="L179" s="120"/>
      <c r="M179" s="120"/>
      <c r="N179" s="120"/>
      <c r="O179" s="120"/>
      <c r="P179" s="120"/>
      <c r="Q179" s="121"/>
    </row>
    <row r="180" spans="1:17" x14ac:dyDescent="0.15">
      <c r="A180" s="285"/>
      <c r="B180" s="286"/>
      <c r="C180" s="286" t="s">
        <v>2</v>
      </c>
      <c r="D180" s="98" t="s">
        <v>208</v>
      </c>
      <c r="E180" s="82">
        <v>0</v>
      </c>
      <c r="F180" s="285"/>
      <c r="G180" s="286"/>
      <c r="H180" s="286" t="s">
        <v>2</v>
      </c>
      <c r="I180" s="98" t="s">
        <v>208</v>
      </c>
      <c r="J180" s="82">
        <v>4460132.95</v>
      </c>
      <c r="K180" s="120"/>
      <c r="L180" s="120"/>
      <c r="M180" s="120"/>
      <c r="N180" s="120"/>
      <c r="O180" s="120"/>
      <c r="P180" s="120"/>
      <c r="Q180" s="121"/>
    </row>
    <row r="181" spans="1:17" x14ac:dyDescent="0.15">
      <c r="A181" s="285"/>
      <c r="B181" s="286"/>
      <c r="C181" s="286"/>
      <c r="D181" s="98" t="s">
        <v>23</v>
      </c>
      <c r="E181" s="82">
        <v>674669.16999999993</v>
      </c>
      <c r="F181" s="285"/>
      <c r="G181" s="286"/>
      <c r="H181" s="286"/>
      <c r="I181" s="98" t="s">
        <v>23</v>
      </c>
      <c r="J181" s="82">
        <v>1461230.85</v>
      </c>
      <c r="K181" s="120"/>
      <c r="L181" s="120"/>
      <c r="M181" s="120"/>
      <c r="N181" s="120"/>
      <c r="O181" s="120"/>
      <c r="P181" s="120"/>
      <c r="Q181" s="121"/>
    </row>
    <row r="182" spans="1:17" x14ac:dyDescent="0.15">
      <c r="A182" s="285"/>
      <c r="B182" s="286" t="s">
        <v>5</v>
      </c>
      <c r="C182" s="306">
        <v>0.05</v>
      </c>
      <c r="D182" s="98" t="s">
        <v>209</v>
      </c>
      <c r="E182" s="82">
        <v>36980324.93</v>
      </c>
      <c r="F182" s="285"/>
      <c r="G182" s="286" t="s">
        <v>5</v>
      </c>
      <c r="H182" s="306">
        <v>0.05</v>
      </c>
      <c r="I182" s="98" t="s">
        <v>209</v>
      </c>
      <c r="J182" s="82">
        <v>805728.5</v>
      </c>
      <c r="K182" s="120"/>
      <c r="L182" s="120"/>
      <c r="M182" s="120"/>
      <c r="N182" s="120"/>
      <c r="O182" s="120"/>
      <c r="P182" s="120"/>
      <c r="Q182" s="121"/>
    </row>
    <row r="183" spans="1:17" x14ac:dyDescent="0.15">
      <c r="A183" s="285"/>
      <c r="B183" s="286"/>
      <c r="C183" s="286"/>
      <c r="D183" s="98" t="s">
        <v>23</v>
      </c>
      <c r="E183" s="82">
        <v>3275914.9400000004</v>
      </c>
      <c r="F183" s="285"/>
      <c r="G183" s="286"/>
      <c r="H183" s="286"/>
      <c r="I183" s="98" t="s">
        <v>23</v>
      </c>
      <c r="J183" s="82">
        <v>3677761.4699999997</v>
      </c>
      <c r="K183" s="120"/>
      <c r="L183" s="120"/>
      <c r="M183" s="120"/>
      <c r="N183" s="120"/>
      <c r="O183" s="120"/>
      <c r="P183" s="120"/>
      <c r="Q183" s="121"/>
    </row>
    <row r="184" spans="1:17" x14ac:dyDescent="0.15">
      <c r="A184" s="285"/>
      <c r="B184" s="286"/>
      <c r="C184" s="286" t="s">
        <v>2</v>
      </c>
      <c r="D184" s="98" t="s">
        <v>209</v>
      </c>
      <c r="E184" s="82">
        <v>26301091.070000004</v>
      </c>
      <c r="F184" s="285"/>
      <c r="G184" s="286"/>
      <c r="H184" s="286" t="s">
        <v>2</v>
      </c>
      <c r="I184" s="98" t="s">
        <v>209</v>
      </c>
      <c r="J184" s="82">
        <v>339001.81000000006</v>
      </c>
      <c r="K184" s="120"/>
      <c r="L184" s="120"/>
      <c r="M184" s="120"/>
      <c r="N184" s="120"/>
      <c r="O184" s="120"/>
      <c r="P184" s="120"/>
      <c r="Q184" s="121"/>
    </row>
    <row r="185" spans="1:17" x14ac:dyDescent="0.15">
      <c r="A185" s="285"/>
      <c r="B185" s="286"/>
      <c r="C185" s="286"/>
      <c r="D185" s="98" t="s">
        <v>23</v>
      </c>
      <c r="E185" s="82">
        <v>11540757.040000001</v>
      </c>
      <c r="F185" s="285"/>
      <c r="G185" s="286"/>
      <c r="H185" s="286"/>
      <c r="I185" s="98" t="s">
        <v>23</v>
      </c>
      <c r="J185" s="82">
        <v>236288.24</v>
      </c>
      <c r="K185" s="120"/>
      <c r="L185" s="120"/>
      <c r="M185" s="120"/>
      <c r="N185" s="120"/>
      <c r="O185" s="120"/>
      <c r="P185" s="120"/>
      <c r="Q185" s="121"/>
    </row>
    <row r="186" spans="1:17" x14ac:dyDescent="0.15">
      <c r="A186" s="285"/>
      <c r="B186" s="307" t="s">
        <v>7</v>
      </c>
      <c r="C186" s="307"/>
      <c r="D186" s="307"/>
      <c r="E186" s="82">
        <v>-739532.56999999972</v>
      </c>
      <c r="F186" s="285"/>
      <c r="G186" s="307" t="s">
        <v>7</v>
      </c>
      <c r="H186" s="307"/>
      <c r="I186" s="307"/>
      <c r="J186" s="82">
        <v>-836495.30000000075</v>
      </c>
      <c r="K186" s="120"/>
      <c r="L186" s="120"/>
      <c r="M186" s="120"/>
      <c r="N186" s="120"/>
      <c r="O186" s="120"/>
      <c r="P186" s="120"/>
      <c r="Q186" s="121"/>
    </row>
    <row r="187" spans="1:17" x14ac:dyDescent="0.15">
      <c r="A187" s="285" t="s">
        <v>9</v>
      </c>
      <c r="B187" s="286" t="s">
        <v>3</v>
      </c>
      <c r="C187" s="306">
        <v>0.05</v>
      </c>
      <c r="D187" s="98" t="s">
        <v>208</v>
      </c>
      <c r="E187" s="82">
        <v>0</v>
      </c>
      <c r="F187" s="285" t="s">
        <v>12</v>
      </c>
      <c r="G187" s="286" t="s">
        <v>3</v>
      </c>
      <c r="H187" s="306">
        <v>0.05</v>
      </c>
      <c r="I187" s="98" t="s">
        <v>208</v>
      </c>
      <c r="J187" s="82">
        <v>443679212.72000003</v>
      </c>
      <c r="K187" s="120"/>
      <c r="L187" s="120"/>
      <c r="M187" s="120"/>
      <c r="N187" s="120"/>
      <c r="O187" s="120"/>
      <c r="P187" s="120"/>
      <c r="Q187" s="121"/>
    </row>
    <row r="188" spans="1:17" x14ac:dyDescent="0.15">
      <c r="A188" s="285"/>
      <c r="B188" s="286"/>
      <c r="C188" s="286"/>
      <c r="D188" s="98" t="s">
        <v>23</v>
      </c>
      <c r="E188" s="82">
        <v>0</v>
      </c>
      <c r="F188" s="285"/>
      <c r="G188" s="286"/>
      <c r="H188" s="286"/>
      <c r="I188" s="98" t="s">
        <v>23</v>
      </c>
      <c r="J188" s="82">
        <v>39895093.560000002</v>
      </c>
      <c r="K188" s="120"/>
      <c r="L188" s="120"/>
      <c r="M188" s="120"/>
      <c r="N188" s="120"/>
      <c r="O188" s="120"/>
      <c r="P188" s="120"/>
      <c r="Q188" s="121"/>
    </row>
    <row r="189" spans="1:17" x14ac:dyDescent="0.15">
      <c r="A189" s="285"/>
      <c r="B189" s="286"/>
      <c r="C189" s="286" t="s">
        <v>2</v>
      </c>
      <c r="D189" s="98" t="s">
        <v>208</v>
      </c>
      <c r="E189" s="82">
        <v>0</v>
      </c>
      <c r="F189" s="285"/>
      <c r="G189" s="286"/>
      <c r="H189" s="286" t="s">
        <v>2</v>
      </c>
      <c r="I189" s="98" t="s">
        <v>208</v>
      </c>
      <c r="J189" s="82">
        <v>358879396.32999998</v>
      </c>
      <c r="K189" s="120"/>
      <c r="L189" s="120"/>
      <c r="M189" s="120"/>
      <c r="N189" s="120"/>
      <c r="O189" s="120"/>
      <c r="P189" s="120"/>
      <c r="Q189" s="121"/>
    </row>
    <row r="190" spans="1:17" x14ac:dyDescent="0.15">
      <c r="A190" s="285"/>
      <c r="B190" s="286"/>
      <c r="C190" s="286"/>
      <c r="D190" s="98" t="s">
        <v>23</v>
      </c>
      <c r="E190" s="82">
        <v>71363.849999999977</v>
      </c>
      <c r="F190" s="285"/>
      <c r="G190" s="286"/>
      <c r="H190" s="286"/>
      <c r="I190" s="98" t="s">
        <v>23</v>
      </c>
      <c r="J190" s="82">
        <v>22426982.940000001</v>
      </c>
      <c r="K190" s="120"/>
      <c r="L190" s="120"/>
      <c r="M190" s="120"/>
      <c r="N190" s="120"/>
      <c r="O190" s="120"/>
      <c r="P190" s="120"/>
      <c r="Q190" s="121"/>
    </row>
    <row r="191" spans="1:17" x14ac:dyDescent="0.15">
      <c r="A191" s="285"/>
      <c r="B191" s="286" t="s">
        <v>5</v>
      </c>
      <c r="C191" s="306">
        <v>0.05</v>
      </c>
      <c r="D191" s="98" t="s">
        <v>209</v>
      </c>
      <c r="E191" s="82">
        <v>0</v>
      </c>
      <c r="F191" s="285"/>
      <c r="G191" s="286" t="s">
        <v>5</v>
      </c>
      <c r="H191" s="306">
        <v>0.05</v>
      </c>
      <c r="I191" s="98" t="s">
        <v>209</v>
      </c>
      <c r="J191" s="82">
        <v>7925823.5700000003</v>
      </c>
      <c r="K191" s="120"/>
      <c r="L191" s="120"/>
      <c r="M191" s="120"/>
      <c r="N191" s="120"/>
      <c r="O191" s="120"/>
      <c r="P191" s="120"/>
      <c r="Q191" s="121"/>
    </row>
    <row r="192" spans="1:17" x14ac:dyDescent="0.15">
      <c r="A192" s="285"/>
      <c r="B192" s="286"/>
      <c r="C192" s="286"/>
      <c r="D192" s="98" t="s">
        <v>23</v>
      </c>
      <c r="E192" s="82">
        <v>0</v>
      </c>
      <c r="F192" s="285"/>
      <c r="G192" s="286"/>
      <c r="H192" s="286"/>
      <c r="I192" s="98" t="s">
        <v>23</v>
      </c>
      <c r="J192" s="82">
        <v>3634376.0199999996</v>
      </c>
      <c r="K192" s="120"/>
      <c r="L192" s="120"/>
      <c r="M192" s="120"/>
      <c r="N192" s="120"/>
      <c r="O192" s="120"/>
      <c r="P192" s="120"/>
      <c r="Q192" s="121"/>
    </row>
    <row r="193" spans="1:17" x14ac:dyDescent="0.15">
      <c r="A193" s="285"/>
      <c r="B193" s="286"/>
      <c r="C193" s="286" t="s">
        <v>2</v>
      </c>
      <c r="D193" s="98" t="s">
        <v>209</v>
      </c>
      <c r="E193" s="82">
        <v>0</v>
      </c>
      <c r="F193" s="285"/>
      <c r="G193" s="286"/>
      <c r="H193" s="286" t="s">
        <v>2</v>
      </c>
      <c r="I193" s="98" t="s">
        <v>209</v>
      </c>
      <c r="J193" s="82">
        <v>4616687.1500000004</v>
      </c>
      <c r="K193" s="120"/>
      <c r="L193" s="120"/>
      <c r="M193" s="120"/>
      <c r="N193" s="120"/>
      <c r="O193" s="120"/>
      <c r="P193" s="120"/>
      <c r="Q193" s="121"/>
    </row>
    <row r="194" spans="1:17" x14ac:dyDescent="0.15">
      <c r="A194" s="285"/>
      <c r="B194" s="286"/>
      <c r="C194" s="286"/>
      <c r="D194" s="98" t="s">
        <v>23</v>
      </c>
      <c r="E194" s="82">
        <v>206841.80999999997</v>
      </c>
      <c r="F194" s="285"/>
      <c r="G194" s="286"/>
      <c r="H194" s="286"/>
      <c r="I194" s="98" t="s">
        <v>23</v>
      </c>
      <c r="J194" s="82">
        <v>2169114.0100000002</v>
      </c>
      <c r="K194" s="120"/>
      <c r="L194" s="120"/>
      <c r="M194" s="120"/>
      <c r="N194" s="120"/>
      <c r="O194" s="120"/>
      <c r="P194" s="120"/>
      <c r="Q194" s="121"/>
    </row>
    <row r="195" spans="1:17" x14ac:dyDescent="0.15">
      <c r="A195" s="285"/>
      <c r="B195" s="307" t="s">
        <v>7</v>
      </c>
      <c r="C195" s="307"/>
      <c r="D195" s="307"/>
      <c r="E195" s="82">
        <v>10.470000000000709</v>
      </c>
      <c r="F195" s="285"/>
      <c r="G195" s="307" t="s">
        <v>7</v>
      </c>
      <c r="H195" s="307"/>
      <c r="I195" s="307"/>
      <c r="J195" s="82">
        <v>-664014.28999999771</v>
      </c>
      <c r="K195" s="120"/>
      <c r="L195" s="120"/>
      <c r="M195" s="120"/>
      <c r="N195" s="120"/>
      <c r="O195" s="120"/>
      <c r="P195" s="120"/>
      <c r="Q195" s="121"/>
    </row>
    <row r="196" spans="1:17" x14ac:dyDescent="0.15">
      <c r="A196" s="285" t="s">
        <v>13</v>
      </c>
      <c r="B196" s="286" t="s">
        <v>3</v>
      </c>
      <c r="C196" s="306">
        <v>0.05</v>
      </c>
      <c r="D196" s="98" t="s">
        <v>208</v>
      </c>
      <c r="E196" s="82">
        <v>0</v>
      </c>
      <c r="F196" s="285" t="s">
        <v>16</v>
      </c>
      <c r="G196" s="286" t="s">
        <v>3</v>
      </c>
      <c r="H196" s="306">
        <v>0.05</v>
      </c>
      <c r="I196" s="98" t="s">
        <v>208</v>
      </c>
      <c r="J196" s="82">
        <v>0</v>
      </c>
      <c r="K196" s="120"/>
      <c r="L196" s="120"/>
      <c r="M196" s="120"/>
      <c r="N196" s="120"/>
      <c r="O196" s="120"/>
      <c r="P196" s="120"/>
      <c r="Q196" s="121"/>
    </row>
    <row r="197" spans="1:17" x14ac:dyDescent="0.15">
      <c r="A197" s="285"/>
      <c r="B197" s="286"/>
      <c r="C197" s="286"/>
      <c r="D197" s="98" t="s">
        <v>23</v>
      </c>
      <c r="E197" s="82">
        <v>48159660.400000006</v>
      </c>
      <c r="F197" s="285"/>
      <c r="G197" s="286"/>
      <c r="H197" s="286"/>
      <c r="I197" s="98" t="s">
        <v>23</v>
      </c>
      <c r="J197" s="82">
        <v>47772487.310000002</v>
      </c>
      <c r="K197" s="120"/>
      <c r="L197" s="120"/>
      <c r="M197" s="120"/>
      <c r="N197" s="120"/>
      <c r="O197" s="120"/>
      <c r="P197" s="120"/>
      <c r="Q197" s="121"/>
    </row>
    <row r="198" spans="1:17" x14ac:dyDescent="0.15">
      <c r="A198" s="285"/>
      <c r="B198" s="286"/>
      <c r="C198" s="286" t="s">
        <v>2</v>
      </c>
      <c r="D198" s="98" t="s">
        <v>208</v>
      </c>
      <c r="E198" s="82">
        <v>0</v>
      </c>
      <c r="F198" s="285"/>
      <c r="G198" s="286"/>
      <c r="H198" s="286" t="s">
        <v>2</v>
      </c>
      <c r="I198" s="98" t="s">
        <v>208</v>
      </c>
      <c r="J198" s="82">
        <v>0</v>
      </c>
      <c r="K198" s="120"/>
      <c r="L198" s="120"/>
      <c r="M198" s="120"/>
      <c r="N198" s="120"/>
      <c r="O198" s="120"/>
      <c r="P198" s="120"/>
      <c r="Q198" s="121"/>
    </row>
    <row r="199" spans="1:17" x14ac:dyDescent="0.15">
      <c r="A199" s="285"/>
      <c r="B199" s="286"/>
      <c r="C199" s="286"/>
      <c r="D199" s="98" t="s">
        <v>23</v>
      </c>
      <c r="E199" s="82">
        <v>0</v>
      </c>
      <c r="F199" s="285"/>
      <c r="G199" s="286"/>
      <c r="H199" s="286"/>
      <c r="I199" s="98" t="s">
        <v>23</v>
      </c>
      <c r="J199" s="82">
        <v>135329.76999999996</v>
      </c>
      <c r="K199" s="120"/>
      <c r="L199" s="120"/>
      <c r="M199" s="120"/>
      <c r="N199" s="120"/>
      <c r="O199" s="120"/>
      <c r="P199" s="120"/>
      <c r="Q199" s="121"/>
    </row>
    <row r="200" spans="1:17" x14ac:dyDescent="0.15">
      <c r="A200" s="285"/>
      <c r="B200" s="286" t="s">
        <v>5</v>
      </c>
      <c r="C200" s="306">
        <v>0.05</v>
      </c>
      <c r="D200" s="98" t="s">
        <v>209</v>
      </c>
      <c r="E200" s="82">
        <v>8185555.4400000004</v>
      </c>
      <c r="F200" s="285"/>
      <c r="G200" s="286" t="s">
        <v>5</v>
      </c>
      <c r="H200" s="306">
        <v>0.05</v>
      </c>
      <c r="I200" s="98" t="s">
        <v>209</v>
      </c>
      <c r="J200" s="82">
        <v>0</v>
      </c>
      <c r="K200" s="120"/>
      <c r="L200" s="120"/>
      <c r="M200" s="120"/>
      <c r="N200" s="120"/>
      <c r="O200" s="120"/>
      <c r="P200" s="120"/>
      <c r="Q200" s="121"/>
    </row>
    <row r="201" spans="1:17" x14ac:dyDescent="0.15">
      <c r="A201" s="285"/>
      <c r="B201" s="286"/>
      <c r="C201" s="286"/>
      <c r="D201" s="98" t="s">
        <v>23</v>
      </c>
      <c r="E201" s="82">
        <v>1448042.75</v>
      </c>
      <c r="F201" s="285"/>
      <c r="G201" s="286"/>
      <c r="H201" s="286"/>
      <c r="I201" s="98" t="s">
        <v>23</v>
      </c>
      <c r="J201" s="82">
        <v>3879249.94</v>
      </c>
      <c r="K201" s="120"/>
      <c r="L201" s="120"/>
      <c r="M201" s="120"/>
      <c r="N201" s="120"/>
      <c r="O201" s="120"/>
      <c r="P201" s="120"/>
      <c r="Q201" s="121"/>
    </row>
    <row r="202" spans="1:17" x14ac:dyDescent="0.15">
      <c r="A202" s="285"/>
      <c r="B202" s="286"/>
      <c r="C202" s="286" t="s">
        <v>2</v>
      </c>
      <c r="D202" s="98" t="s">
        <v>209</v>
      </c>
      <c r="E202" s="82">
        <v>6139166.5</v>
      </c>
      <c r="F202" s="285"/>
      <c r="G202" s="286"/>
      <c r="H202" s="286" t="s">
        <v>2</v>
      </c>
      <c r="I202" s="98" t="s">
        <v>209</v>
      </c>
      <c r="J202" s="82">
        <v>0</v>
      </c>
      <c r="K202" s="120"/>
      <c r="L202" s="120"/>
      <c r="M202" s="120"/>
      <c r="N202" s="120"/>
      <c r="O202" s="120"/>
      <c r="P202" s="120"/>
      <c r="Q202" s="121"/>
    </row>
    <row r="203" spans="1:17" x14ac:dyDescent="0.15">
      <c r="A203" s="285"/>
      <c r="B203" s="286"/>
      <c r="C203" s="286"/>
      <c r="D203" s="98" t="s">
        <v>23</v>
      </c>
      <c r="E203" s="82">
        <v>4647374.97</v>
      </c>
      <c r="F203" s="285"/>
      <c r="G203" s="286"/>
      <c r="H203" s="286"/>
      <c r="I203" s="98" t="s">
        <v>23</v>
      </c>
      <c r="J203" s="82">
        <v>7986.11</v>
      </c>
      <c r="K203" s="120"/>
      <c r="L203" s="120"/>
      <c r="M203" s="120"/>
      <c r="N203" s="120"/>
      <c r="O203" s="120"/>
      <c r="P203" s="120"/>
      <c r="Q203" s="121"/>
    </row>
    <row r="204" spans="1:17" x14ac:dyDescent="0.15">
      <c r="A204" s="285"/>
      <c r="B204" s="307" t="s">
        <v>7</v>
      </c>
      <c r="C204" s="307"/>
      <c r="D204" s="307"/>
      <c r="E204" s="82">
        <v>1052229.68</v>
      </c>
      <c r="F204" s="285"/>
      <c r="G204" s="307" t="s">
        <v>7</v>
      </c>
      <c r="H204" s="307"/>
      <c r="I204" s="307"/>
      <c r="J204" s="82">
        <v>-9867719.4900000002</v>
      </c>
      <c r="K204" s="120"/>
      <c r="L204" s="120"/>
      <c r="M204" s="120"/>
      <c r="N204" s="120"/>
      <c r="O204" s="120"/>
      <c r="P204" s="120"/>
      <c r="Q204" s="121"/>
    </row>
    <row r="205" spans="1:17" x14ac:dyDescent="0.15">
      <c r="A205" s="285" t="s">
        <v>14</v>
      </c>
      <c r="B205" s="286" t="s">
        <v>3</v>
      </c>
      <c r="C205" s="306">
        <v>0.05</v>
      </c>
      <c r="D205" s="98" t="s">
        <v>208</v>
      </c>
      <c r="E205" s="82">
        <v>0</v>
      </c>
      <c r="F205" s="285" t="s">
        <v>17</v>
      </c>
      <c r="G205" s="286" t="s">
        <v>3</v>
      </c>
      <c r="H205" s="306">
        <v>0.05</v>
      </c>
      <c r="I205" s="98" t="s">
        <v>208</v>
      </c>
      <c r="J205" s="82">
        <v>0</v>
      </c>
      <c r="K205" s="120"/>
      <c r="L205" s="120"/>
      <c r="M205" s="120"/>
      <c r="N205" s="120"/>
      <c r="O205" s="120"/>
      <c r="P205" s="120"/>
      <c r="Q205" s="121"/>
    </row>
    <row r="206" spans="1:17" x14ac:dyDescent="0.15">
      <c r="A206" s="285"/>
      <c r="B206" s="286"/>
      <c r="C206" s="286"/>
      <c r="D206" s="98" t="s">
        <v>23</v>
      </c>
      <c r="E206" s="82">
        <v>9570068.5700000003</v>
      </c>
      <c r="F206" s="285"/>
      <c r="G206" s="286"/>
      <c r="H206" s="286"/>
      <c r="I206" s="98" t="s">
        <v>23</v>
      </c>
      <c r="J206" s="82">
        <v>36769402.840000004</v>
      </c>
      <c r="K206" s="120"/>
      <c r="L206" s="120"/>
      <c r="M206" s="120"/>
      <c r="N206" s="120"/>
      <c r="O206" s="120"/>
      <c r="P206" s="120"/>
      <c r="Q206" s="121"/>
    </row>
    <row r="207" spans="1:17" x14ac:dyDescent="0.15">
      <c r="A207" s="285"/>
      <c r="B207" s="286"/>
      <c r="C207" s="286" t="s">
        <v>2</v>
      </c>
      <c r="D207" s="98" t="s">
        <v>208</v>
      </c>
      <c r="E207" s="82">
        <v>0</v>
      </c>
      <c r="F207" s="285"/>
      <c r="G207" s="286"/>
      <c r="H207" s="286" t="s">
        <v>2</v>
      </c>
      <c r="I207" s="98" t="s">
        <v>208</v>
      </c>
      <c r="J207" s="82">
        <v>0</v>
      </c>
      <c r="K207" s="120"/>
      <c r="L207" s="120"/>
      <c r="M207" s="120"/>
      <c r="N207" s="120"/>
      <c r="O207" s="120"/>
      <c r="P207" s="120"/>
      <c r="Q207" s="121"/>
    </row>
    <row r="208" spans="1:17" x14ac:dyDescent="0.15">
      <c r="A208" s="285"/>
      <c r="B208" s="286"/>
      <c r="C208" s="286"/>
      <c r="D208" s="98" t="s">
        <v>23</v>
      </c>
      <c r="E208" s="82">
        <v>3070954.91</v>
      </c>
      <c r="F208" s="285"/>
      <c r="G208" s="286"/>
      <c r="H208" s="286"/>
      <c r="I208" s="98" t="s">
        <v>23</v>
      </c>
      <c r="J208" s="82">
        <v>18899790.420000002</v>
      </c>
      <c r="K208" s="120"/>
      <c r="L208" s="120"/>
      <c r="M208" s="120"/>
      <c r="N208" s="120"/>
      <c r="O208" s="120"/>
      <c r="P208" s="120"/>
      <c r="Q208" s="121"/>
    </row>
    <row r="209" spans="1:17" x14ac:dyDescent="0.15">
      <c r="A209" s="285"/>
      <c r="B209" s="286" t="s">
        <v>5</v>
      </c>
      <c r="C209" s="306">
        <v>0.05</v>
      </c>
      <c r="D209" s="98" t="s">
        <v>209</v>
      </c>
      <c r="E209" s="82">
        <v>0</v>
      </c>
      <c r="F209" s="285"/>
      <c r="G209" s="286" t="s">
        <v>5</v>
      </c>
      <c r="H209" s="306">
        <v>0.05</v>
      </c>
      <c r="I209" s="98" t="s">
        <v>209</v>
      </c>
      <c r="J209" s="82">
        <v>0</v>
      </c>
      <c r="K209" s="120"/>
      <c r="L209" s="120"/>
      <c r="M209" s="120"/>
      <c r="N209" s="120"/>
      <c r="O209" s="120"/>
      <c r="P209" s="120"/>
      <c r="Q209" s="121"/>
    </row>
    <row r="210" spans="1:17" x14ac:dyDescent="0.15">
      <c r="A210" s="285"/>
      <c r="B210" s="286"/>
      <c r="C210" s="286"/>
      <c r="D210" s="98" t="s">
        <v>23</v>
      </c>
      <c r="E210" s="82">
        <v>70442.13</v>
      </c>
      <c r="F210" s="285"/>
      <c r="G210" s="286"/>
      <c r="H210" s="286"/>
      <c r="I210" s="98" t="s">
        <v>23</v>
      </c>
      <c r="J210" s="82">
        <v>3228402.6799999997</v>
      </c>
      <c r="K210" s="120"/>
      <c r="L210" s="120"/>
      <c r="M210" s="120"/>
      <c r="N210" s="120"/>
      <c r="O210" s="120"/>
      <c r="P210" s="120"/>
      <c r="Q210" s="121"/>
    </row>
    <row r="211" spans="1:17" x14ac:dyDescent="0.15">
      <c r="A211" s="285"/>
      <c r="B211" s="286"/>
      <c r="C211" s="286" t="s">
        <v>2</v>
      </c>
      <c r="D211" s="98" t="s">
        <v>209</v>
      </c>
      <c r="E211" s="82">
        <v>0</v>
      </c>
      <c r="F211" s="285"/>
      <c r="G211" s="286"/>
      <c r="H211" s="286" t="s">
        <v>2</v>
      </c>
      <c r="I211" s="98" t="s">
        <v>209</v>
      </c>
      <c r="J211" s="82">
        <v>0</v>
      </c>
      <c r="K211" s="120"/>
      <c r="L211" s="120"/>
      <c r="M211" s="120"/>
      <c r="N211" s="120"/>
      <c r="O211" s="120"/>
      <c r="P211" s="120"/>
      <c r="Q211" s="121"/>
    </row>
    <row r="212" spans="1:17" x14ac:dyDescent="0.15">
      <c r="A212" s="285"/>
      <c r="B212" s="286"/>
      <c r="C212" s="286"/>
      <c r="D212" s="98" t="s">
        <v>23</v>
      </c>
      <c r="E212" s="82">
        <v>0</v>
      </c>
      <c r="F212" s="285"/>
      <c r="G212" s="286"/>
      <c r="H212" s="286"/>
      <c r="I212" s="98" t="s">
        <v>23</v>
      </c>
      <c r="J212" s="82">
        <v>1252301.1700000002</v>
      </c>
      <c r="K212" s="120"/>
      <c r="L212" s="120"/>
      <c r="M212" s="120"/>
      <c r="N212" s="120"/>
      <c r="O212" s="120"/>
      <c r="P212" s="120"/>
      <c r="Q212" s="121"/>
    </row>
    <row r="213" spans="1:17" x14ac:dyDescent="0.15">
      <c r="A213" s="285"/>
      <c r="B213" s="307" t="s">
        <v>7</v>
      </c>
      <c r="C213" s="307"/>
      <c r="D213" s="307"/>
      <c r="E213" s="82">
        <v>-188648.19000000018</v>
      </c>
      <c r="F213" s="285"/>
      <c r="G213" s="307" t="s">
        <v>7</v>
      </c>
      <c r="H213" s="307"/>
      <c r="I213" s="307"/>
      <c r="J213" s="82">
        <v>-291389.86000000045</v>
      </c>
      <c r="K213" s="120"/>
      <c r="L213" s="120"/>
      <c r="M213" s="120"/>
      <c r="N213" s="120"/>
      <c r="O213" s="120"/>
      <c r="P213" s="120"/>
      <c r="Q213" s="121"/>
    </row>
    <row r="214" spans="1:17" x14ac:dyDescent="0.15">
      <c r="A214" s="285" t="s">
        <v>15</v>
      </c>
      <c r="B214" s="286" t="s">
        <v>3</v>
      </c>
      <c r="C214" s="306">
        <v>0.05</v>
      </c>
      <c r="D214" s="98" t="s">
        <v>208</v>
      </c>
      <c r="E214" s="82">
        <v>0</v>
      </c>
      <c r="F214" s="285" t="s">
        <v>18</v>
      </c>
      <c r="G214" s="286" t="s">
        <v>3</v>
      </c>
      <c r="H214" s="306">
        <v>0.05</v>
      </c>
      <c r="I214" s="98" t="s">
        <v>208</v>
      </c>
      <c r="J214" s="82">
        <v>0</v>
      </c>
      <c r="K214" s="120"/>
      <c r="L214" s="120"/>
      <c r="M214" s="120"/>
      <c r="N214" s="120"/>
      <c r="O214" s="120"/>
      <c r="P214" s="120"/>
      <c r="Q214" s="121"/>
    </row>
    <row r="215" spans="1:17" x14ac:dyDescent="0.15">
      <c r="A215" s="285"/>
      <c r="B215" s="286"/>
      <c r="C215" s="286"/>
      <c r="D215" s="98" t="s">
        <v>23</v>
      </c>
      <c r="E215" s="82">
        <v>0</v>
      </c>
      <c r="F215" s="285"/>
      <c r="G215" s="286"/>
      <c r="H215" s="286"/>
      <c r="I215" s="98" t="s">
        <v>23</v>
      </c>
      <c r="J215" s="82">
        <v>514820.88</v>
      </c>
      <c r="K215" s="120"/>
      <c r="L215" s="120"/>
      <c r="M215" s="120"/>
      <c r="N215" s="120"/>
      <c r="O215" s="120"/>
      <c r="P215" s="120"/>
      <c r="Q215" s="121"/>
    </row>
    <row r="216" spans="1:17" x14ac:dyDescent="0.15">
      <c r="A216" s="285"/>
      <c r="B216" s="286"/>
      <c r="C216" s="286" t="s">
        <v>2</v>
      </c>
      <c r="D216" s="98" t="s">
        <v>208</v>
      </c>
      <c r="E216" s="82">
        <v>0</v>
      </c>
      <c r="F216" s="285"/>
      <c r="G216" s="286"/>
      <c r="H216" s="286" t="s">
        <v>2</v>
      </c>
      <c r="I216" s="98" t="s">
        <v>208</v>
      </c>
      <c r="J216" s="82">
        <v>0</v>
      </c>
      <c r="K216" s="120"/>
      <c r="L216" s="120"/>
      <c r="M216" s="120"/>
      <c r="N216" s="120"/>
      <c r="O216" s="120"/>
      <c r="P216" s="120"/>
      <c r="Q216" s="121"/>
    </row>
    <row r="217" spans="1:17" x14ac:dyDescent="0.15">
      <c r="A217" s="285"/>
      <c r="B217" s="286"/>
      <c r="C217" s="286"/>
      <c r="D217" s="98" t="s">
        <v>23</v>
      </c>
      <c r="E217" s="82">
        <v>404395.14999999991</v>
      </c>
      <c r="F217" s="285"/>
      <c r="G217" s="286"/>
      <c r="H217" s="286"/>
      <c r="I217" s="98" t="s">
        <v>23</v>
      </c>
      <c r="J217" s="82">
        <v>29318.699999999997</v>
      </c>
      <c r="K217" s="120"/>
      <c r="L217" s="120"/>
      <c r="M217" s="120"/>
      <c r="N217" s="120"/>
      <c r="O217" s="120"/>
      <c r="P217" s="120"/>
      <c r="Q217" s="121"/>
    </row>
    <row r="218" spans="1:17" x14ac:dyDescent="0.15">
      <c r="A218" s="285"/>
      <c r="B218" s="286" t="s">
        <v>5</v>
      </c>
      <c r="C218" s="306">
        <v>0.05</v>
      </c>
      <c r="D218" s="98" t="s">
        <v>209</v>
      </c>
      <c r="E218" s="82">
        <v>0</v>
      </c>
      <c r="F218" s="285"/>
      <c r="G218" s="286" t="s">
        <v>5</v>
      </c>
      <c r="H218" s="306">
        <v>0.05</v>
      </c>
      <c r="I218" s="98" t="s">
        <v>209</v>
      </c>
      <c r="J218" s="82">
        <v>2142042.3000000003</v>
      </c>
      <c r="K218" s="120"/>
      <c r="L218" s="120"/>
      <c r="M218" s="120"/>
      <c r="N218" s="120"/>
      <c r="O218" s="120"/>
      <c r="P218" s="120"/>
      <c r="Q218" s="121"/>
    </row>
    <row r="219" spans="1:17" x14ac:dyDescent="0.15">
      <c r="A219" s="285"/>
      <c r="B219" s="286"/>
      <c r="C219" s="286"/>
      <c r="D219" s="98" t="s">
        <v>23</v>
      </c>
      <c r="E219" s="82">
        <v>0</v>
      </c>
      <c r="F219" s="285"/>
      <c r="G219" s="286"/>
      <c r="H219" s="286"/>
      <c r="I219" s="98" t="s">
        <v>23</v>
      </c>
      <c r="J219" s="82">
        <v>0</v>
      </c>
      <c r="K219" s="120"/>
      <c r="L219" s="120"/>
      <c r="M219" s="120"/>
      <c r="N219" s="120"/>
      <c r="O219" s="120"/>
      <c r="P219" s="120"/>
      <c r="Q219" s="121"/>
    </row>
    <row r="220" spans="1:17" x14ac:dyDescent="0.15">
      <c r="A220" s="285"/>
      <c r="B220" s="286"/>
      <c r="C220" s="286" t="s">
        <v>2</v>
      </c>
      <c r="D220" s="98" t="s">
        <v>209</v>
      </c>
      <c r="E220" s="82">
        <v>0</v>
      </c>
      <c r="F220" s="285"/>
      <c r="G220" s="286"/>
      <c r="H220" s="286" t="s">
        <v>2</v>
      </c>
      <c r="I220" s="98" t="s">
        <v>209</v>
      </c>
      <c r="J220" s="82">
        <v>0</v>
      </c>
      <c r="K220" s="120"/>
      <c r="L220" s="120"/>
      <c r="M220" s="120"/>
      <c r="N220" s="120"/>
      <c r="O220" s="120"/>
      <c r="P220" s="120"/>
      <c r="Q220" s="121"/>
    </row>
    <row r="221" spans="1:17" x14ac:dyDescent="0.15">
      <c r="A221" s="285"/>
      <c r="B221" s="286"/>
      <c r="C221" s="286"/>
      <c r="D221" s="98" t="s">
        <v>23</v>
      </c>
      <c r="E221" s="82">
        <v>1172103.5900000001</v>
      </c>
      <c r="F221" s="285"/>
      <c r="G221" s="286"/>
      <c r="H221" s="286"/>
      <c r="I221" s="98" t="s">
        <v>23</v>
      </c>
      <c r="J221" s="82">
        <v>0</v>
      </c>
      <c r="K221" s="120"/>
      <c r="L221" s="120"/>
      <c r="M221" s="120"/>
      <c r="N221" s="120"/>
      <c r="O221" s="120"/>
      <c r="P221" s="120"/>
      <c r="Q221" s="121"/>
    </row>
    <row r="222" spans="1:17" x14ac:dyDescent="0.15">
      <c r="A222" s="285"/>
      <c r="B222" s="307" t="s">
        <v>7</v>
      </c>
      <c r="C222" s="307"/>
      <c r="D222" s="307"/>
      <c r="E222" s="82">
        <v>59.33000000000402</v>
      </c>
      <c r="F222" s="285"/>
      <c r="G222" s="307" t="s">
        <v>7</v>
      </c>
      <c r="H222" s="307"/>
      <c r="I222" s="307"/>
      <c r="J222" s="82">
        <v>-60497.999999999993</v>
      </c>
      <c r="K222" s="120"/>
      <c r="L222" s="120"/>
      <c r="M222" s="120"/>
      <c r="N222" s="120"/>
      <c r="O222" s="120"/>
      <c r="P222" s="120"/>
      <c r="Q222" s="121"/>
    </row>
    <row r="223" spans="1:17" ht="11.25" customHeight="1" x14ac:dyDescent="0.15">
      <c r="A223" s="285" t="s">
        <v>19</v>
      </c>
      <c r="B223" s="286" t="s">
        <v>3</v>
      </c>
      <c r="C223" s="306">
        <v>0.05</v>
      </c>
      <c r="D223" s="98" t="s">
        <v>208</v>
      </c>
      <c r="E223" s="82">
        <v>2367199222.79</v>
      </c>
      <c r="F223" s="285" t="s">
        <v>21</v>
      </c>
      <c r="G223" s="286" t="s">
        <v>3</v>
      </c>
      <c r="H223" s="306">
        <v>0.05</v>
      </c>
      <c r="I223" s="98" t="s">
        <v>208</v>
      </c>
      <c r="J223" s="82">
        <v>0</v>
      </c>
      <c r="K223" s="120"/>
      <c r="L223" s="120"/>
      <c r="M223" s="120"/>
      <c r="N223" s="120"/>
      <c r="O223" s="120"/>
      <c r="P223" s="120"/>
      <c r="Q223" s="121"/>
    </row>
    <row r="224" spans="1:17" ht="10.5" customHeight="1" x14ac:dyDescent="0.15">
      <c r="A224" s="285"/>
      <c r="B224" s="286"/>
      <c r="C224" s="286"/>
      <c r="D224" s="98" t="s">
        <v>23</v>
      </c>
      <c r="E224" s="82">
        <v>57625016.219999991</v>
      </c>
      <c r="F224" s="285"/>
      <c r="G224" s="286"/>
      <c r="H224" s="286"/>
      <c r="I224" s="98" t="s">
        <v>23</v>
      </c>
      <c r="J224" s="82">
        <v>12391372.040000001</v>
      </c>
      <c r="K224" s="120"/>
      <c r="L224" s="120"/>
      <c r="M224" s="120"/>
      <c r="N224" s="120"/>
      <c r="O224" s="120"/>
      <c r="P224" s="120"/>
      <c r="Q224" s="121"/>
    </row>
    <row r="225" spans="1:17" x14ac:dyDescent="0.15">
      <c r="A225" s="285"/>
      <c r="B225" s="286"/>
      <c r="C225" s="286" t="s">
        <v>2</v>
      </c>
      <c r="D225" s="98" t="s">
        <v>208</v>
      </c>
      <c r="E225" s="82">
        <v>1729925493.5799997</v>
      </c>
      <c r="F225" s="285"/>
      <c r="G225" s="286"/>
      <c r="H225" s="286" t="s">
        <v>2</v>
      </c>
      <c r="I225" s="98" t="s">
        <v>208</v>
      </c>
      <c r="J225" s="82">
        <v>0</v>
      </c>
      <c r="K225" s="120"/>
      <c r="L225" s="120"/>
      <c r="M225" s="120"/>
      <c r="N225" s="120"/>
      <c r="O225" s="120"/>
      <c r="P225" s="120"/>
      <c r="Q225" s="121"/>
    </row>
    <row r="226" spans="1:17" x14ac:dyDescent="0.15">
      <c r="A226" s="285"/>
      <c r="B226" s="286"/>
      <c r="C226" s="286"/>
      <c r="D226" s="98" t="s">
        <v>23</v>
      </c>
      <c r="E226" s="82">
        <v>264863022.78000003</v>
      </c>
      <c r="F226" s="285"/>
      <c r="G226" s="286"/>
      <c r="H226" s="286"/>
      <c r="I226" s="98" t="s">
        <v>23</v>
      </c>
      <c r="J226" s="82">
        <v>56199751.450000003</v>
      </c>
      <c r="K226" s="120"/>
      <c r="L226" s="120"/>
      <c r="M226" s="120"/>
      <c r="N226" s="120"/>
      <c r="O226" s="120"/>
      <c r="P226" s="120"/>
      <c r="Q226" s="121"/>
    </row>
    <row r="227" spans="1:17" x14ac:dyDescent="0.15">
      <c r="A227" s="285"/>
      <c r="B227" s="286" t="s">
        <v>5</v>
      </c>
      <c r="C227" s="306">
        <v>0.05</v>
      </c>
      <c r="D227" s="98" t="s">
        <v>209</v>
      </c>
      <c r="E227" s="82">
        <v>0</v>
      </c>
      <c r="F227" s="285"/>
      <c r="G227" s="286" t="s">
        <v>5</v>
      </c>
      <c r="H227" s="306">
        <v>0.05</v>
      </c>
      <c r="I227" s="98" t="s">
        <v>209</v>
      </c>
      <c r="J227" s="82">
        <v>0</v>
      </c>
      <c r="K227" s="120"/>
      <c r="L227" s="120"/>
      <c r="M227" s="120"/>
      <c r="N227" s="120"/>
      <c r="O227" s="120"/>
      <c r="P227" s="120"/>
      <c r="Q227" s="121"/>
    </row>
    <row r="228" spans="1:17" x14ac:dyDescent="0.15">
      <c r="A228" s="285"/>
      <c r="B228" s="286"/>
      <c r="C228" s="286"/>
      <c r="D228" s="98" t="s">
        <v>23</v>
      </c>
      <c r="E228" s="82">
        <v>175358.59</v>
      </c>
      <c r="F228" s="285"/>
      <c r="G228" s="286"/>
      <c r="H228" s="286"/>
      <c r="I228" s="98" t="s">
        <v>23</v>
      </c>
      <c r="J228" s="82">
        <v>0</v>
      </c>
      <c r="K228" s="120"/>
      <c r="L228" s="120"/>
      <c r="M228" s="120"/>
      <c r="N228" s="120"/>
      <c r="O228" s="120"/>
      <c r="P228" s="120"/>
      <c r="Q228" s="121"/>
    </row>
    <row r="229" spans="1:17" x14ac:dyDescent="0.15">
      <c r="A229" s="285"/>
      <c r="B229" s="286"/>
      <c r="C229" s="286" t="s">
        <v>2</v>
      </c>
      <c r="D229" s="98" t="s">
        <v>209</v>
      </c>
      <c r="E229" s="82">
        <v>0</v>
      </c>
      <c r="F229" s="285"/>
      <c r="G229" s="286"/>
      <c r="H229" s="286" t="s">
        <v>2</v>
      </c>
      <c r="I229" s="98" t="s">
        <v>209</v>
      </c>
      <c r="J229" s="82">
        <v>0</v>
      </c>
      <c r="K229" s="120"/>
      <c r="L229" s="120"/>
      <c r="M229" s="120"/>
      <c r="N229" s="120"/>
      <c r="O229" s="120"/>
      <c r="P229" s="120"/>
      <c r="Q229" s="121"/>
    </row>
    <row r="230" spans="1:17" x14ac:dyDescent="0.15">
      <c r="A230" s="285"/>
      <c r="B230" s="286"/>
      <c r="C230" s="286"/>
      <c r="D230" s="98" t="s">
        <v>23</v>
      </c>
      <c r="E230" s="82">
        <v>12.7</v>
      </c>
      <c r="F230" s="285"/>
      <c r="G230" s="286"/>
      <c r="H230" s="286"/>
      <c r="I230" s="98" t="s">
        <v>23</v>
      </c>
      <c r="J230" s="82">
        <v>0</v>
      </c>
      <c r="K230" s="120"/>
      <c r="L230" s="120"/>
      <c r="M230" s="120"/>
      <c r="N230" s="120"/>
      <c r="O230" s="120"/>
      <c r="P230" s="120"/>
      <c r="Q230" s="121"/>
    </row>
    <row r="231" spans="1:17" x14ac:dyDescent="0.15">
      <c r="A231" s="285"/>
      <c r="B231" s="307" t="s">
        <v>7</v>
      </c>
      <c r="C231" s="307"/>
      <c r="D231" s="307"/>
      <c r="E231" s="82">
        <v>-65313103.95000001</v>
      </c>
      <c r="F231" s="285"/>
      <c r="G231" s="307" t="s">
        <v>7</v>
      </c>
      <c r="H231" s="307"/>
      <c r="I231" s="307"/>
      <c r="J231" s="82">
        <v>-386364.32000000007</v>
      </c>
      <c r="K231" s="120"/>
      <c r="L231" s="120"/>
      <c r="M231" s="120"/>
      <c r="N231" s="120"/>
      <c r="O231" s="120"/>
      <c r="P231" s="120"/>
      <c r="Q231" s="121"/>
    </row>
    <row r="232" spans="1:17" x14ac:dyDescent="0.15">
      <c r="A232" s="285" t="s">
        <v>24</v>
      </c>
      <c r="B232" s="286" t="s">
        <v>3</v>
      </c>
      <c r="C232" s="306">
        <v>0.05</v>
      </c>
      <c r="D232" s="98" t="s">
        <v>208</v>
      </c>
      <c r="E232" s="82">
        <v>7954132.1500000013</v>
      </c>
      <c r="F232" s="285" t="s">
        <v>25</v>
      </c>
      <c r="G232" s="286" t="s">
        <v>3</v>
      </c>
      <c r="H232" s="306">
        <v>0.05</v>
      </c>
      <c r="I232" s="98" t="s">
        <v>208</v>
      </c>
      <c r="J232" s="82">
        <v>9426637.9300000016</v>
      </c>
      <c r="K232" s="120"/>
      <c r="L232" s="120"/>
      <c r="M232" s="120"/>
      <c r="N232" s="120"/>
      <c r="O232" s="120"/>
      <c r="P232" s="120"/>
      <c r="Q232" s="121"/>
    </row>
    <row r="233" spans="1:17" x14ac:dyDescent="0.15">
      <c r="A233" s="285"/>
      <c r="B233" s="286"/>
      <c r="C233" s="286"/>
      <c r="D233" s="98" t="s">
        <v>23</v>
      </c>
      <c r="E233" s="82">
        <v>167699913.45000002</v>
      </c>
      <c r="F233" s="285"/>
      <c r="G233" s="286"/>
      <c r="H233" s="286"/>
      <c r="I233" s="98" t="s">
        <v>23</v>
      </c>
      <c r="J233" s="82">
        <v>159570625.34</v>
      </c>
      <c r="K233" s="120"/>
      <c r="L233" s="120"/>
      <c r="M233" s="120"/>
      <c r="N233" s="120"/>
      <c r="O233" s="120"/>
      <c r="P233" s="120"/>
      <c r="Q233" s="121"/>
    </row>
    <row r="234" spans="1:17" x14ac:dyDescent="0.15">
      <c r="A234" s="285"/>
      <c r="B234" s="286"/>
      <c r="C234" s="286" t="s">
        <v>2</v>
      </c>
      <c r="D234" s="98" t="s">
        <v>208</v>
      </c>
      <c r="E234" s="82">
        <v>5635801.0199999996</v>
      </c>
      <c r="F234" s="285"/>
      <c r="G234" s="286"/>
      <c r="H234" s="286" t="s">
        <v>2</v>
      </c>
      <c r="I234" s="98" t="s">
        <v>208</v>
      </c>
      <c r="J234" s="82">
        <v>6617803.6800000016</v>
      </c>
      <c r="K234" s="120"/>
      <c r="L234" s="120"/>
      <c r="M234" s="120"/>
      <c r="N234" s="120"/>
      <c r="O234" s="120"/>
      <c r="P234" s="120"/>
      <c r="Q234" s="121"/>
    </row>
    <row r="235" spans="1:17" x14ac:dyDescent="0.15">
      <c r="A235" s="285"/>
      <c r="B235" s="286"/>
      <c r="C235" s="286"/>
      <c r="D235" s="98" t="s">
        <v>23</v>
      </c>
      <c r="E235" s="82">
        <v>4068349.99</v>
      </c>
      <c r="F235" s="285"/>
      <c r="G235" s="286"/>
      <c r="H235" s="286"/>
      <c r="I235" s="98" t="s">
        <v>23</v>
      </c>
      <c r="J235" s="82">
        <v>2343630.9</v>
      </c>
      <c r="K235" s="120"/>
      <c r="L235" s="120"/>
      <c r="M235" s="120"/>
      <c r="N235" s="120"/>
      <c r="O235" s="120"/>
      <c r="P235" s="120"/>
      <c r="Q235" s="121"/>
    </row>
    <row r="236" spans="1:17" x14ac:dyDescent="0.15">
      <c r="A236" s="285"/>
      <c r="B236" s="286" t="s">
        <v>5</v>
      </c>
      <c r="C236" s="306">
        <v>0.05</v>
      </c>
      <c r="D236" s="98" t="s">
        <v>209</v>
      </c>
      <c r="E236" s="82">
        <v>30233824.170000002</v>
      </c>
      <c r="F236" s="285"/>
      <c r="G236" s="286" t="s">
        <v>5</v>
      </c>
      <c r="H236" s="306">
        <v>0.05</v>
      </c>
      <c r="I236" s="98" t="s">
        <v>209</v>
      </c>
      <c r="J236" s="82">
        <v>11460222.58</v>
      </c>
      <c r="K236" s="120"/>
      <c r="L236" s="120"/>
      <c r="M236" s="120"/>
      <c r="N236" s="120"/>
      <c r="O236" s="120"/>
      <c r="P236" s="120"/>
      <c r="Q236" s="121"/>
    </row>
    <row r="237" spans="1:17" x14ac:dyDescent="0.15">
      <c r="A237" s="285"/>
      <c r="B237" s="286"/>
      <c r="C237" s="286"/>
      <c r="D237" s="98" t="s">
        <v>23</v>
      </c>
      <c r="E237" s="82">
        <v>13626750.1</v>
      </c>
      <c r="F237" s="285"/>
      <c r="G237" s="286"/>
      <c r="H237" s="286"/>
      <c r="I237" s="98" t="s">
        <v>23</v>
      </c>
      <c r="J237" s="82">
        <v>12668742.210000001</v>
      </c>
      <c r="K237" s="120"/>
      <c r="L237" s="120"/>
      <c r="M237" s="120"/>
      <c r="N237" s="120"/>
      <c r="O237" s="120"/>
      <c r="P237" s="120"/>
      <c r="Q237" s="121"/>
    </row>
    <row r="238" spans="1:17" x14ac:dyDescent="0.15">
      <c r="A238" s="285"/>
      <c r="B238" s="286"/>
      <c r="C238" s="286" t="s">
        <v>2</v>
      </c>
      <c r="D238" s="98" t="s">
        <v>209</v>
      </c>
      <c r="E238" s="82">
        <v>19050165.290000003</v>
      </c>
      <c r="F238" s="285"/>
      <c r="G238" s="286"/>
      <c r="H238" s="286" t="s">
        <v>2</v>
      </c>
      <c r="I238" s="98" t="s">
        <v>209</v>
      </c>
      <c r="J238" s="82">
        <v>8084818.9500000011</v>
      </c>
      <c r="K238" s="120"/>
      <c r="L238" s="120"/>
      <c r="M238" s="120"/>
      <c r="N238" s="120"/>
      <c r="O238" s="120"/>
      <c r="P238" s="120"/>
      <c r="Q238" s="121"/>
    </row>
    <row r="239" spans="1:17" ht="11.25" customHeight="1" x14ac:dyDescent="0.15">
      <c r="A239" s="285"/>
      <c r="B239" s="286"/>
      <c r="C239" s="286"/>
      <c r="D239" s="98" t="s">
        <v>23</v>
      </c>
      <c r="E239" s="82">
        <v>9324720.5199999996</v>
      </c>
      <c r="F239" s="285"/>
      <c r="G239" s="286"/>
      <c r="H239" s="286"/>
      <c r="I239" s="98" t="s">
        <v>23</v>
      </c>
      <c r="J239" s="82">
        <v>3430255.81</v>
      </c>
      <c r="K239" s="120"/>
      <c r="L239" s="120"/>
      <c r="M239" s="120"/>
      <c r="N239" s="120"/>
      <c r="O239" s="120"/>
      <c r="P239" s="120"/>
      <c r="Q239" s="121"/>
    </row>
    <row r="240" spans="1:17" ht="10.5" customHeight="1" x14ac:dyDescent="0.15">
      <c r="A240" s="285"/>
      <c r="B240" s="307" t="s">
        <v>7</v>
      </c>
      <c r="C240" s="307"/>
      <c r="D240" s="307"/>
      <c r="E240" s="82">
        <v>-8816334.7700000014</v>
      </c>
      <c r="F240" s="285"/>
      <c r="G240" s="307" t="s">
        <v>7</v>
      </c>
      <c r="H240" s="307"/>
      <c r="I240" s="307"/>
      <c r="J240" s="82">
        <v>-710718.49000000197</v>
      </c>
      <c r="K240" s="120"/>
      <c r="L240" s="120"/>
      <c r="M240" s="120"/>
      <c r="N240" s="120"/>
      <c r="O240" s="120"/>
      <c r="P240" s="120"/>
      <c r="Q240" s="121"/>
    </row>
    <row r="241" spans="1:17" x14ac:dyDescent="0.15">
      <c r="A241" s="285" t="s">
        <v>20</v>
      </c>
      <c r="B241" s="286" t="s">
        <v>3</v>
      </c>
      <c r="C241" s="306">
        <v>0.05</v>
      </c>
      <c r="D241" s="98" t="s">
        <v>208</v>
      </c>
      <c r="E241" s="82">
        <v>0</v>
      </c>
      <c r="F241" s="285" t="s">
        <v>22</v>
      </c>
      <c r="G241" s="286" t="s">
        <v>3</v>
      </c>
      <c r="H241" s="306">
        <v>0.05</v>
      </c>
      <c r="I241" s="98" t="s">
        <v>208</v>
      </c>
      <c r="J241" s="82">
        <v>442634760.58000004</v>
      </c>
      <c r="K241" s="120"/>
      <c r="L241" s="120"/>
      <c r="M241" s="120"/>
      <c r="N241" s="120"/>
      <c r="O241" s="120"/>
      <c r="P241" s="120"/>
      <c r="Q241" s="121"/>
    </row>
    <row r="242" spans="1:17" x14ac:dyDescent="0.15">
      <c r="A242" s="285"/>
      <c r="B242" s="286"/>
      <c r="C242" s="286"/>
      <c r="D242" s="98" t="s">
        <v>23</v>
      </c>
      <c r="E242" s="82">
        <v>23274619.740000002</v>
      </c>
      <c r="F242" s="285"/>
      <c r="G242" s="286"/>
      <c r="H242" s="286"/>
      <c r="I242" s="98" t="s">
        <v>23</v>
      </c>
      <c r="J242" s="82">
        <v>58763386.25</v>
      </c>
      <c r="K242" s="120"/>
      <c r="L242" s="120"/>
      <c r="M242" s="120"/>
      <c r="N242" s="120"/>
      <c r="O242" s="120"/>
      <c r="P242" s="120"/>
      <c r="Q242" s="121"/>
    </row>
    <row r="243" spans="1:17" x14ac:dyDescent="0.15">
      <c r="A243" s="285"/>
      <c r="B243" s="286"/>
      <c r="C243" s="286" t="s">
        <v>2</v>
      </c>
      <c r="D243" s="98" t="s">
        <v>208</v>
      </c>
      <c r="E243" s="82">
        <v>0</v>
      </c>
      <c r="F243" s="285"/>
      <c r="G243" s="286"/>
      <c r="H243" s="286" t="s">
        <v>2</v>
      </c>
      <c r="I243" s="98" t="s">
        <v>208</v>
      </c>
      <c r="J243" s="82">
        <v>326767478.82000005</v>
      </c>
      <c r="K243" s="120"/>
      <c r="L243" s="120"/>
      <c r="M243" s="120"/>
      <c r="N243" s="120"/>
      <c r="O243" s="120"/>
      <c r="P243" s="120"/>
      <c r="Q243" s="121"/>
    </row>
    <row r="244" spans="1:17" x14ac:dyDescent="0.15">
      <c r="A244" s="285"/>
      <c r="B244" s="286"/>
      <c r="C244" s="286"/>
      <c r="D244" s="98" t="s">
        <v>23</v>
      </c>
      <c r="E244" s="82">
        <v>64436175.020000003</v>
      </c>
      <c r="F244" s="285"/>
      <c r="G244" s="286"/>
      <c r="H244" s="286"/>
      <c r="I244" s="98" t="s">
        <v>23</v>
      </c>
      <c r="J244" s="82">
        <v>308888193.69</v>
      </c>
      <c r="K244" s="120"/>
      <c r="L244" s="120"/>
      <c r="M244" s="120"/>
      <c r="N244" s="120"/>
      <c r="O244" s="120"/>
      <c r="P244" s="120"/>
      <c r="Q244" s="121"/>
    </row>
    <row r="245" spans="1:17" x14ac:dyDescent="0.15">
      <c r="A245" s="285"/>
      <c r="B245" s="286" t="s">
        <v>5</v>
      </c>
      <c r="C245" s="306">
        <v>0.05</v>
      </c>
      <c r="D245" s="98" t="s">
        <v>209</v>
      </c>
      <c r="E245" s="82">
        <v>0</v>
      </c>
      <c r="F245" s="285"/>
      <c r="G245" s="286" t="s">
        <v>5</v>
      </c>
      <c r="H245" s="306">
        <v>0.05</v>
      </c>
      <c r="I245" s="98" t="s">
        <v>209</v>
      </c>
      <c r="J245" s="82">
        <v>0</v>
      </c>
      <c r="K245" s="120"/>
      <c r="L245" s="120"/>
      <c r="M245" s="120"/>
      <c r="N245" s="120"/>
      <c r="O245" s="120"/>
      <c r="P245" s="120"/>
      <c r="Q245" s="121"/>
    </row>
    <row r="246" spans="1:17" x14ac:dyDescent="0.15">
      <c r="A246" s="285"/>
      <c r="B246" s="286"/>
      <c r="C246" s="286"/>
      <c r="D246" s="98" t="s">
        <v>23</v>
      </c>
      <c r="E246" s="82">
        <v>180364.9</v>
      </c>
      <c r="F246" s="285"/>
      <c r="G246" s="286"/>
      <c r="H246" s="286"/>
      <c r="I246" s="98" t="s">
        <v>23</v>
      </c>
      <c r="J246" s="82">
        <v>143355.6</v>
      </c>
      <c r="K246" s="120"/>
      <c r="L246" s="120"/>
      <c r="M246" s="120"/>
      <c r="N246" s="120"/>
      <c r="O246" s="120"/>
      <c r="P246" s="120"/>
      <c r="Q246" s="121"/>
    </row>
    <row r="247" spans="1:17" x14ac:dyDescent="0.15">
      <c r="A247" s="285"/>
      <c r="B247" s="286"/>
      <c r="C247" s="286" t="s">
        <v>2</v>
      </c>
      <c r="D247" s="98" t="s">
        <v>209</v>
      </c>
      <c r="E247" s="82">
        <v>0</v>
      </c>
      <c r="F247" s="285"/>
      <c r="G247" s="286"/>
      <c r="H247" s="286" t="s">
        <v>2</v>
      </c>
      <c r="I247" s="98" t="s">
        <v>209</v>
      </c>
      <c r="J247" s="82">
        <v>0</v>
      </c>
      <c r="K247" s="120"/>
      <c r="L247" s="120"/>
      <c r="M247" s="120"/>
      <c r="N247" s="120"/>
      <c r="O247" s="120"/>
      <c r="P247" s="120"/>
      <c r="Q247" s="121"/>
    </row>
    <row r="248" spans="1:17" x14ac:dyDescent="0.15">
      <c r="A248" s="285"/>
      <c r="B248" s="286"/>
      <c r="C248" s="286"/>
      <c r="D248" s="98" t="s">
        <v>23</v>
      </c>
      <c r="E248" s="82">
        <v>30471.5</v>
      </c>
      <c r="F248" s="285"/>
      <c r="G248" s="286"/>
      <c r="H248" s="286"/>
      <c r="I248" s="98" t="s">
        <v>23</v>
      </c>
      <c r="J248" s="82">
        <v>0</v>
      </c>
      <c r="K248" s="120"/>
      <c r="L248" s="120"/>
      <c r="M248" s="120"/>
      <c r="N248" s="120"/>
      <c r="O248" s="120"/>
      <c r="P248" s="120"/>
      <c r="Q248" s="121"/>
    </row>
    <row r="249" spans="1:17" ht="11.25" customHeight="1" x14ac:dyDescent="0.15">
      <c r="A249" s="285"/>
      <c r="B249" s="307" t="s">
        <v>7</v>
      </c>
      <c r="C249" s="307"/>
      <c r="D249" s="307"/>
      <c r="E249" s="82">
        <v>-493134.07000000012</v>
      </c>
      <c r="F249" s="285"/>
      <c r="G249" s="307" t="s">
        <v>7</v>
      </c>
      <c r="H249" s="307"/>
      <c r="I249" s="307"/>
      <c r="J249" s="82">
        <v>-296746.58000000124</v>
      </c>
      <c r="K249" s="120"/>
      <c r="L249" s="120"/>
      <c r="M249" s="120"/>
      <c r="N249" s="120"/>
      <c r="O249" s="120"/>
      <c r="P249" s="120"/>
      <c r="Q249" s="121"/>
    </row>
    <row r="250" spans="1:17" ht="10.5" customHeight="1" x14ac:dyDescent="0.15"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1"/>
    </row>
    <row r="251" spans="1:17" x14ac:dyDescent="0.15"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1"/>
    </row>
    <row r="252" spans="1:17" ht="12.75" x14ac:dyDescent="0.2">
      <c r="A252" s="27" t="s">
        <v>265</v>
      </c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1"/>
    </row>
    <row r="253" spans="1:17" x14ac:dyDescent="0.15"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1"/>
    </row>
  </sheetData>
  <mergeCells count="289">
    <mergeCell ref="A164:D164"/>
    <mergeCell ref="A187:A195"/>
    <mergeCell ref="B187:B190"/>
    <mergeCell ref="C187:C188"/>
    <mergeCell ref="C189:C190"/>
    <mergeCell ref="B191:B194"/>
    <mergeCell ref="C191:C192"/>
    <mergeCell ref="C193:C194"/>
    <mergeCell ref="B195:D195"/>
    <mergeCell ref="A169:A177"/>
    <mergeCell ref="B169:B172"/>
    <mergeCell ref="C169:C170"/>
    <mergeCell ref="C171:C172"/>
    <mergeCell ref="B173:B176"/>
    <mergeCell ref="C173:C174"/>
    <mergeCell ref="C175:C176"/>
    <mergeCell ref="B177:D177"/>
    <mergeCell ref="A178:A186"/>
    <mergeCell ref="B178:B181"/>
    <mergeCell ref="C178:C179"/>
    <mergeCell ref="C180:C181"/>
    <mergeCell ref="B182:B185"/>
    <mergeCell ref="C182:C183"/>
    <mergeCell ref="C184:C185"/>
    <mergeCell ref="B186:D186"/>
    <mergeCell ref="F169:F177"/>
    <mergeCell ref="G169:G172"/>
    <mergeCell ref="H169:H170"/>
    <mergeCell ref="H171:H172"/>
    <mergeCell ref="G173:G176"/>
    <mergeCell ref="H173:H174"/>
    <mergeCell ref="H175:H176"/>
    <mergeCell ref="G177:I177"/>
    <mergeCell ref="F178:F186"/>
    <mergeCell ref="G178:G181"/>
    <mergeCell ref="H178:H179"/>
    <mergeCell ref="H180:H181"/>
    <mergeCell ref="G182:G185"/>
    <mergeCell ref="H182:H183"/>
    <mergeCell ref="H184:H185"/>
    <mergeCell ref="G186:I186"/>
    <mergeCell ref="F187:F195"/>
    <mergeCell ref="G187:G190"/>
    <mergeCell ref="H187:H188"/>
    <mergeCell ref="H189:H190"/>
    <mergeCell ref="G191:G194"/>
    <mergeCell ref="H191:H192"/>
    <mergeCell ref="H193:H194"/>
    <mergeCell ref="G195:I195"/>
    <mergeCell ref="A214:A222"/>
    <mergeCell ref="B214:B217"/>
    <mergeCell ref="C214:C215"/>
    <mergeCell ref="C216:C217"/>
    <mergeCell ref="B218:B221"/>
    <mergeCell ref="C218:C219"/>
    <mergeCell ref="C220:C221"/>
    <mergeCell ref="B222:D222"/>
    <mergeCell ref="A196:A204"/>
    <mergeCell ref="B196:B199"/>
    <mergeCell ref="C196:C197"/>
    <mergeCell ref="C198:C199"/>
    <mergeCell ref="B200:B203"/>
    <mergeCell ref="C200:C201"/>
    <mergeCell ref="C202:C203"/>
    <mergeCell ref="B204:D204"/>
    <mergeCell ref="A205:A213"/>
    <mergeCell ref="B205:B208"/>
    <mergeCell ref="C205:C206"/>
    <mergeCell ref="C207:C208"/>
    <mergeCell ref="B209:B212"/>
    <mergeCell ref="C209:C210"/>
    <mergeCell ref="C211:C212"/>
    <mergeCell ref="B213:D213"/>
    <mergeCell ref="F205:F213"/>
    <mergeCell ref="G209:G212"/>
    <mergeCell ref="H209:H210"/>
    <mergeCell ref="H211:H212"/>
    <mergeCell ref="G213:I213"/>
    <mergeCell ref="F214:F222"/>
    <mergeCell ref="G214:G217"/>
    <mergeCell ref="H214:H215"/>
    <mergeCell ref="H216:H217"/>
    <mergeCell ref="G218:G221"/>
    <mergeCell ref="H218:H219"/>
    <mergeCell ref="H220:H221"/>
    <mergeCell ref="G222:I222"/>
    <mergeCell ref="F196:F204"/>
    <mergeCell ref="G196:G199"/>
    <mergeCell ref="H196:H197"/>
    <mergeCell ref="H198:H199"/>
    <mergeCell ref="G200:G203"/>
    <mergeCell ref="H200:H201"/>
    <mergeCell ref="H202:H203"/>
    <mergeCell ref="G204:I204"/>
    <mergeCell ref="G205:G208"/>
    <mergeCell ref="H205:H206"/>
    <mergeCell ref="H207:H208"/>
    <mergeCell ref="A223:A231"/>
    <mergeCell ref="B223:B226"/>
    <mergeCell ref="C223:C224"/>
    <mergeCell ref="C225:C226"/>
    <mergeCell ref="B227:B230"/>
    <mergeCell ref="C227:C228"/>
    <mergeCell ref="C229:C230"/>
    <mergeCell ref="B231:D231"/>
    <mergeCell ref="A232:A240"/>
    <mergeCell ref="B232:B235"/>
    <mergeCell ref="C232:C233"/>
    <mergeCell ref="C234:C235"/>
    <mergeCell ref="B236:B239"/>
    <mergeCell ref="C236:C237"/>
    <mergeCell ref="C238:C239"/>
    <mergeCell ref="B240:D240"/>
    <mergeCell ref="F241:F249"/>
    <mergeCell ref="G241:G244"/>
    <mergeCell ref="H241:H242"/>
    <mergeCell ref="H243:H244"/>
    <mergeCell ref="G245:G248"/>
    <mergeCell ref="H245:H246"/>
    <mergeCell ref="H247:H248"/>
    <mergeCell ref="G249:I249"/>
    <mergeCell ref="A241:A249"/>
    <mergeCell ref="B241:B244"/>
    <mergeCell ref="C241:C242"/>
    <mergeCell ref="C243:C244"/>
    <mergeCell ref="B245:B248"/>
    <mergeCell ref="C245:C246"/>
    <mergeCell ref="C247:C248"/>
    <mergeCell ref="B249:D249"/>
    <mergeCell ref="F223:F231"/>
    <mergeCell ref="G223:G226"/>
    <mergeCell ref="H223:H224"/>
    <mergeCell ref="H225:H226"/>
    <mergeCell ref="G227:G230"/>
    <mergeCell ref="H227:H228"/>
    <mergeCell ref="H229:H230"/>
    <mergeCell ref="G231:I231"/>
    <mergeCell ref="G232:G235"/>
    <mergeCell ref="H232:H233"/>
    <mergeCell ref="H234:H235"/>
    <mergeCell ref="F232:F240"/>
    <mergeCell ref="G236:G239"/>
    <mergeCell ref="H236:H237"/>
    <mergeCell ref="H238:H239"/>
    <mergeCell ref="G240:I240"/>
    <mergeCell ref="B10:D10"/>
    <mergeCell ref="A2:A10"/>
    <mergeCell ref="A11:A19"/>
    <mergeCell ref="B11:B14"/>
    <mergeCell ref="C11:C12"/>
    <mergeCell ref="C13:C14"/>
    <mergeCell ref="B15:B18"/>
    <mergeCell ref="C15:C16"/>
    <mergeCell ref="C17:C18"/>
    <mergeCell ref="B19:D19"/>
    <mergeCell ref="B2:B5"/>
    <mergeCell ref="B6:B9"/>
    <mergeCell ref="C2:C3"/>
    <mergeCell ref="C4:C5"/>
    <mergeCell ref="C6:C7"/>
    <mergeCell ref="C8:C9"/>
    <mergeCell ref="A29:A37"/>
    <mergeCell ref="B29:B32"/>
    <mergeCell ref="C29:C30"/>
    <mergeCell ref="C31:C32"/>
    <mergeCell ref="B33:B36"/>
    <mergeCell ref="C33:C34"/>
    <mergeCell ref="C35:C36"/>
    <mergeCell ref="B37:D37"/>
    <mergeCell ref="A20:A28"/>
    <mergeCell ref="B20:B23"/>
    <mergeCell ref="C20:C21"/>
    <mergeCell ref="C22:C23"/>
    <mergeCell ref="B24:B27"/>
    <mergeCell ref="C24:C25"/>
    <mergeCell ref="C26:C27"/>
    <mergeCell ref="B28:D28"/>
    <mergeCell ref="A47:A55"/>
    <mergeCell ref="B47:B50"/>
    <mergeCell ref="C47:C48"/>
    <mergeCell ref="C49:C50"/>
    <mergeCell ref="B51:B54"/>
    <mergeCell ref="C51:C52"/>
    <mergeCell ref="C53:C54"/>
    <mergeCell ref="B55:D55"/>
    <mergeCell ref="A38:A46"/>
    <mergeCell ref="B38:B41"/>
    <mergeCell ref="C38:C39"/>
    <mergeCell ref="C40:C41"/>
    <mergeCell ref="B42:B45"/>
    <mergeCell ref="C42:C43"/>
    <mergeCell ref="C44:C45"/>
    <mergeCell ref="B46:D46"/>
    <mergeCell ref="A65:A73"/>
    <mergeCell ref="B65:B68"/>
    <mergeCell ref="C65:C66"/>
    <mergeCell ref="C67:C68"/>
    <mergeCell ref="B69:B72"/>
    <mergeCell ref="C69:C70"/>
    <mergeCell ref="C71:C72"/>
    <mergeCell ref="B73:D73"/>
    <mergeCell ref="A56:A64"/>
    <mergeCell ref="B56:B59"/>
    <mergeCell ref="C56:C57"/>
    <mergeCell ref="C58:C59"/>
    <mergeCell ref="B60:B63"/>
    <mergeCell ref="C60:C61"/>
    <mergeCell ref="C62:C63"/>
    <mergeCell ref="B64:D64"/>
    <mergeCell ref="A83:A91"/>
    <mergeCell ref="B83:B86"/>
    <mergeCell ref="C83:C84"/>
    <mergeCell ref="C85:C86"/>
    <mergeCell ref="B87:B90"/>
    <mergeCell ref="C87:C88"/>
    <mergeCell ref="C89:C90"/>
    <mergeCell ref="B91:D91"/>
    <mergeCell ref="A74:A82"/>
    <mergeCell ref="B74:B77"/>
    <mergeCell ref="C74:C75"/>
    <mergeCell ref="C76:C77"/>
    <mergeCell ref="B78:B81"/>
    <mergeCell ref="C78:C79"/>
    <mergeCell ref="C80:C81"/>
    <mergeCell ref="B82:D82"/>
    <mergeCell ref="A101:A109"/>
    <mergeCell ref="B101:B104"/>
    <mergeCell ref="C101:C102"/>
    <mergeCell ref="C103:C104"/>
    <mergeCell ref="B105:B108"/>
    <mergeCell ref="C105:C106"/>
    <mergeCell ref="C107:C108"/>
    <mergeCell ref="B109:D109"/>
    <mergeCell ref="A92:A100"/>
    <mergeCell ref="B92:B95"/>
    <mergeCell ref="C92:C93"/>
    <mergeCell ref="C94:C95"/>
    <mergeCell ref="B96:B99"/>
    <mergeCell ref="C96:C97"/>
    <mergeCell ref="C98:C99"/>
    <mergeCell ref="B100:D100"/>
    <mergeCell ref="A119:A127"/>
    <mergeCell ref="B119:B122"/>
    <mergeCell ref="C119:C120"/>
    <mergeCell ref="C121:C122"/>
    <mergeCell ref="B123:B126"/>
    <mergeCell ref="C123:C124"/>
    <mergeCell ref="C125:C126"/>
    <mergeCell ref="B127:D127"/>
    <mergeCell ref="A110:A118"/>
    <mergeCell ref="B110:B113"/>
    <mergeCell ref="C110:C111"/>
    <mergeCell ref="C112:C113"/>
    <mergeCell ref="B114:B117"/>
    <mergeCell ref="C114:C115"/>
    <mergeCell ref="C116:C117"/>
    <mergeCell ref="B118:D118"/>
    <mergeCell ref="A137:A145"/>
    <mergeCell ref="B137:B140"/>
    <mergeCell ref="C137:C138"/>
    <mergeCell ref="C139:C140"/>
    <mergeCell ref="B141:B144"/>
    <mergeCell ref="C141:C142"/>
    <mergeCell ref="C143:C144"/>
    <mergeCell ref="B145:D145"/>
    <mergeCell ref="A128:A136"/>
    <mergeCell ref="B128:B131"/>
    <mergeCell ref="C128:C129"/>
    <mergeCell ref="C130:C131"/>
    <mergeCell ref="B132:B135"/>
    <mergeCell ref="C132:C133"/>
    <mergeCell ref="C134:C135"/>
    <mergeCell ref="B136:D136"/>
    <mergeCell ref="A155:A163"/>
    <mergeCell ref="B155:B158"/>
    <mergeCell ref="C155:C156"/>
    <mergeCell ref="C157:C158"/>
    <mergeCell ref="B159:B162"/>
    <mergeCell ref="C159:C160"/>
    <mergeCell ref="C161:C162"/>
    <mergeCell ref="B163:D163"/>
    <mergeCell ref="A146:A154"/>
    <mergeCell ref="B146:B149"/>
    <mergeCell ref="C146:C147"/>
    <mergeCell ref="C148:C149"/>
    <mergeCell ref="B150:B153"/>
    <mergeCell ref="C150:C151"/>
    <mergeCell ref="C152:C153"/>
    <mergeCell ref="B154:D154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0"/>
  <sheetViews>
    <sheetView topLeftCell="A137" workbookViewId="0">
      <selection activeCell="A165" sqref="A165"/>
    </sheetView>
  </sheetViews>
  <sheetFormatPr defaultRowHeight="10.5" x14ac:dyDescent="0.15"/>
  <cols>
    <col min="1" max="1" width="9.42578125" style="88" bestFit="1" customWidth="1"/>
    <col min="2" max="2" width="10.42578125" style="88" bestFit="1" customWidth="1"/>
    <col min="3" max="3" width="5" style="88" bestFit="1" customWidth="1"/>
    <col min="4" max="4" width="12.5703125" style="88" bestFit="1" customWidth="1"/>
    <col min="5" max="5" width="19.7109375" style="88" bestFit="1" customWidth="1"/>
    <col min="6" max="6" width="17" style="88" bestFit="1" customWidth="1"/>
    <col min="7" max="7" width="18.140625" style="88" bestFit="1" customWidth="1"/>
    <col min="8" max="9" width="17" style="88" bestFit="1" customWidth="1"/>
    <col min="10" max="16" width="18.140625" style="88" bestFit="1" customWidth="1"/>
    <col min="17" max="17" width="22" style="88" bestFit="1" customWidth="1"/>
    <col min="18" max="16384" width="9.140625" style="88"/>
  </cols>
  <sheetData>
    <row r="1" spans="1:17" x14ac:dyDescent="0.15">
      <c r="A1" s="108" t="s">
        <v>152</v>
      </c>
      <c r="B1" s="108" t="s">
        <v>206</v>
      </c>
      <c r="C1" s="108" t="s">
        <v>128</v>
      </c>
      <c r="D1" s="108" t="s">
        <v>221</v>
      </c>
      <c r="E1" s="109">
        <v>43101</v>
      </c>
      <c r="F1" s="109">
        <v>43132</v>
      </c>
      <c r="G1" s="109">
        <v>43160</v>
      </c>
      <c r="H1" s="109">
        <v>43191</v>
      </c>
      <c r="I1" s="109">
        <v>43221</v>
      </c>
      <c r="J1" s="109">
        <v>43252</v>
      </c>
      <c r="K1" s="109">
        <v>43282</v>
      </c>
      <c r="L1" s="109">
        <v>43313</v>
      </c>
      <c r="M1" s="109">
        <v>43344</v>
      </c>
      <c r="N1" s="109">
        <v>43374</v>
      </c>
      <c r="O1" s="109">
        <v>43405</v>
      </c>
      <c r="P1" s="109">
        <v>43435</v>
      </c>
      <c r="Q1" s="110" t="s">
        <v>28</v>
      </c>
    </row>
    <row r="2" spans="1:17" x14ac:dyDescent="0.15">
      <c r="A2" s="285" t="s">
        <v>4</v>
      </c>
      <c r="B2" s="286" t="s">
        <v>3</v>
      </c>
      <c r="C2" s="306">
        <v>0.05</v>
      </c>
      <c r="D2" s="98" t="s">
        <v>0</v>
      </c>
      <c r="E2" s="111">
        <f>('MUN_LEI 9478'!E2*0.17)/0.3</f>
        <v>33962.208999999995</v>
      </c>
      <c r="F2" s="111">
        <f>('MUN_LEI 9478'!F2*0.17)/0.3</f>
        <v>40153.512666666677</v>
      </c>
      <c r="G2" s="111">
        <f>('MUN_LEI 9478'!G2*0.17)/0.3</f>
        <v>38353.892666666681</v>
      </c>
      <c r="H2" s="111">
        <f>('MUN_LEI 9478'!H2*0.17)/0.3</f>
        <v>29386.086666666677</v>
      </c>
      <c r="I2" s="111">
        <f>('MUN_LEI 9478'!I2*0.17)/0.3</f>
        <v>17569.290333333334</v>
      </c>
      <c r="J2" s="111">
        <f>('MUN_LEI 9478'!J2*0.17)/0.3</f>
        <v>16396.307333333338</v>
      </c>
      <c r="K2" s="111">
        <f>('MUN_LEI 9478'!K2*0.17)/0.3</f>
        <v>54594.729333333336</v>
      </c>
      <c r="L2" s="111">
        <f>('MUN_LEI 9478'!L2*0.17)/0.3</f>
        <v>37816.069333333333</v>
      </c>
      <c r="M2" s="111">
        <f>('MUN_LEI 9478'!M2*0.17)/0.3</f>
        <v>50300.920333333335</v>
      </c>
      <c r="N2" s="111">
        <f>('MUN_LEI 9478'!N2*0.17)/0.3</f>
        <v>42570.544333333339</v>
      </c>
      <c r="O2" s="111">
        <f>('MUN_LEI 9478'!O2*0.17)/0.3</f>
        <v>47570.368999999999</v>
      </c>
      <c r="P2" s="111">
        <f>('MUN_LEI 9478'!P2*0.17)/0.3</f>
        <v>45106.230333333348</v>
      </c>
      <c r="Q2" s="112">
        <f>SUM(E2:P2)</f>
        <v>453780.16133333341</v>
      </c>
    </row>
    <row r="3" spans="1:17" x14ac:dyDescent="0.15">
      <c r="A3" s="285"/>
      <c r="B3" s="286"/>
      <c r="C3" s="286"/>
      <c r="D3" s="98" t="s">
        <v>1</v>
      </c>
      <c r="E3" s="111">
        <f>('MUN_LEI 9478'!E3*0.03)/0.1</f>
        <v>2020839.21</v>
      </c>
      <c r="F3" s="111">
        <f>('MUN_LEI 9478'!F3*0.03)/0.1</f>
        <v>2156843.9099999997</v>
      </c>
      <c r="G3" s="111">
        <f>('MUN_LEI 9478'!G3*0.03)/0.1</f>
        <v>2301287.61</v>
      </c>
      <c r="H3" s="111">
        <f>('MUN_LEI 9478'!H3*0.03)/0.1</f>
        <v>1971208.8569999998</v>
      </c>
      <c r="I3" s="111">
        <f>('MUN_LEI 9478'!I3*0.03)/0.1</f>
        <v>2165348.2019999996</v>
      </c>
      <c r="J3" s="111">
        <f>('MUN_LEI 9478'!J3*0.03)/0.1</f>
        <v>2283207.8400000003</v>
      </c>
      <c r="K3" s="111">
        <f>('MUN_LEI 9478'!K3*0.03)/0.1</f>
        <v>2764532.733</v>
      </c>
      <c r="L3" s="111">
        <f>('MUN_LEI 9478'!L3*0.03)/0.1</f>
        <v>2708465.5919999992</v>
      </c>
      <c r="M3" s="111">
        <f>('MUN_LEI 9478'!M3*0.03)/0.1</f>
        <v>2739489.7049999996</v>
      </c>
      <c r="N3" s="111">
        <f>('MUN_LEI 9478'!N3*0.03)/0.1</f>
        <v>2587604.9700000007</v>
      </c>
      <c r="O3" s="111">
        <f>('MUN_LEI 9478'!O3*0.03)/0.1</f>
        <v>2744858.8079999993</v>
      </c>
      <c r="P3" s="111">
        <f>('MUN_LEI 9478'!P3*0.03)/0.1</f>
        <v>3075621.0389999999</v>
      </c>
      <c r="Q3" s="112">
        <f t="shared" ref="Q3:Q66" si="0">SUM(E3:P3)</f>
        <v>29519308.476</v>
      </c>
    </row>
    <row r="4" spans="1:17" x14ac:dyDescent="0.15">
      <c r="A4" s="285"/>
      <c r="B4" s="286"/>
      <c r="C4" s="286" t="s">
        <v>2</v>
      </c>
      <c r="D4" s="98" t="s">
        <v>0</v>
      </c>
      <c r="E4" s="111">
        <f>('MUN_LEI 9478'!E4*0.17)/0.225</f>
        <v>29207.601777777782</v>
      </c>
      <c r="F4" s="111">
        <f>('MUN_LEI 9478'!F4*0.17)/0.225</f>
        <v>34532.137777777782</v>
      </c>
      <c r="G4" s="111">
        <f>('MUN_LEI 9478'!G4*0.17)/0.225</f>
        <v>32984.427555555558</v>
      </c>
      <c r="H4" s="111">
        <f>('MUN_LEI 9478'!H4*0.17)/0.225</f>
        <v>25272.139555555554</v>
      </c>
      <c r="I4" s="111">
        <f>('MUN_LEI 9478'!I4*0.17)/0.225</f>
        <v>15109.826666666668</v>
      </c>
      <c r="J4" s="111">
        <f>('MUN_LEI 9478'!J4*0.17)/0.225</f>
        <v>14100.918222222223</v>
      </c>
      <c r="K4" s="111">
        <f>('MUN_LEI 9478'!K4*0.17)/0.225</f>
        <v>46951.61244444445</v>
      </c>
      <c r="L4" s="111">
        <f>('MUN_LEI 9478'!L4*0.17)/0.225</f>
        <v>32521.952000000001</v>
      </c>
      <c r="M4" s="111">
        <f>('MUN_LEI 9478'!M4*0.17)/0.225</f>
        <v>43258.910222222221</v>
      </c>
      <c r="N4" s="111">
        <f>('MUN_LEI 9478'!N4*0.17)/0.225</f>
        <v>36610.77688888889</v>
      </c>
      <c r="O4" s="111">
        <f>('MUN_LEI 9478'!O4*0.17)/0.225</f>
        <v>40910.643555555565</v>
      </c>
      <c r="P4" s="111">
        <f>('MUN_LEI 9478'!P4*0.17)/0.225</f>
        <v>38791.46133333334</v>
      </c>
      <c r="Q4" s="112">
        <f t="shared" si="0"/>
        <v>390252.408</v>
      </c>
    </row>
    <row r="5" spans="1:17" x14ac:dyDescent="0.15">
      <c r="A5" s="285"/>
      <c r="B5" s="286"/>
      <c r="C5" s="286"/>
      <c r="D5" s="98" t="s">
        <v>1</v>
      </c>
      <c r="E5" s="111">
        <f>('MUN_LEI 9478'!E5*0.03)/0.075</f>
        <v>34836.627999999997</v>
      </c>
      <c r="F5" s="111">
        <f>('MUN_LEI 9478'!F5*0.03)/0.075</f>
        <v>28248.847999999998</v>
      </c>
      <c r="G5" s="111">
        <f>('MUN_LEI 9478'!G5*0.03)/0.075</f>
        <v>41169.480000000003</v>
      </c>
      <c r="H5" s="111">
        <f>('MUN_LEI 9478'!H5*0.03)/0.075</f>
        <v>33743.020000000004</v>
      </c>
      <c r="I5" s="111">
        <f>('MUN_LEI 9478'!I5*0.03)/0.075</f>
        <v>20411.844000000001</v>
      </c>
      <c r="J5" s="111">
        <f>('MUN_LEI 9478'!J5*0.03)/0.075</f>
        <v>19331.851999999995</v>
      </c>
      <c r="K5" s="111">
        <f>('MUN_LEI 9478'!K5*0.03)/0.075</f>
        <v>67522.275999999998</v>
      </c>
      <c r="L5" s="111">
        <f>('MUN_LEI 9478'!L5*0.03)/0.075</f>
        <v>56668.2</v>
      </c>
      <c r="M5" s="111">
        <f>('MUN_LEI 9478'!M5*0.03)/0.075</f>
        <v>71184.947999999989</v>
      </c>
      <c r="N5" s="111">
        <f>('MUN_LEI 9478'!N5*0.03)/0.075</f>
        <v>60267.691999999988</v>
      </c>
      <c r="O5" s="111">
        <f>('MUN_LEI 9478'!O5*0.03)/0.075</f>
        <v>71422.98000000001</v>
      </c>
      <c r="P5" s="111">
        <f>('MUN_LEI 9478'!P5*0.03)/0.075</f>
        <v>64294.543999999987</v>
      </c>
      <c r="Q5" s="112">
        <f t="shared" si="0"/>
        <v>569102.31200000003</v>
      </c>
    </row>
    <row r="6" spans="1:17" x14ac:dyDescent="0.15">
      <c r="A6" s="285"/>
      <c r="B6" s="286" t="s">
        <v>5</v>
      </c>
      <c r="C6" s="306">
        <v>0.05</v>
      </c>
      <c r="D6" s="98" t="s">
        <v>6</v>
      </c>
      <c r="E6" s="111">
        <f>'MUN_LEI 9478'!E6</f>
        <v>323776.23000000004</v>
      </c>
      <c r="F6" s="111">
        <f>'MUN_LEI 9478'!F6</f>
        <v>262172.76</v>
      </c>
      <c r="G6" s="111">
        <f>'MUN_LEI 9478'!G6</f>
        <v>339684.23</v>
      </c>
      <c r="H6" s="111">
        <f>'MUN_LEI 9478'!H6</f>
        <v>285621.18</v>
      </c>
      <c r="I6" s="111">
        <f>'MUN_LEI 9478'!I6</f>
        <v>291173.03000000003</v>
      </c>
      <c r="J6" s="111">
        <f>'MUN_LEI 9478'!J6</f>
        <v>317283.87</v>
      </c>
      <c r="K6" s="111">
        <f>'MUN_LEI 9478'!K6</f>
        <v>325220.61</v>
      </c>
      <c r="L6" s="111">
        <f>'MUN_LEI 9478'!L6</f>
        <v>348868.93</v>
      </c>
      <c r="M6" s="111">
        <f>'MUN_LEI 9478'!M6</f>
        <v>351513.94000000006</v>
      </c>
      <c r="N6" s="111">
        <f>'MUN_LEI 9478'!N6</f>
        <v>401226.54000000004</v>
      </c>
      <c r="O6" s="111">
        <f>'MUN_LEI 9478'!O6</f>
        <v>409083.2</v>
      </c>
      <c r="P6" s="111">
        <f>'MUN_LEI 9478'!P6</f>
        <v>411623.27</v>
      </c>
      <c r="Q6" s="112">
        <f t="shared" si="0"/>
        <v>4067247.79</v>
      </c>
    </row>
    <row r="7" spans="1:17" x14ac:dyDescent="0.15">
      <c r="A7" s="285"/>
      <c r="B7" s="286"/>
      <c r="C7" s="286"/>
      <c r="D7" s="98" t="s">
        <v>1</v>
      </c>
      <c r="E7" s="111">
        <f>'MUN_LEI 9478'!E7</f>
        <v>601995.89999999979</v>
      </c>
      <c r="F7" s="111">
        <f>'MUN_LEI 9478'!F7</f>
        <v>626444.39999999991</v>
      </c>
      <c r="G7" s="111">
        <f>'MUN_LEI 9478'!G7</f>
        <v>666965.70000000019</v>
      </c>
      <c r="H7" s="111">
        <f>'MUN_LEI 9478'!H7</f>
        <v>507909.89999999997</v>
      </c>
      <c r="I7" s="111">
        <f>'MUN_LEI 9478'!I7</f>
        <v>542090.89999999979</v>
      </c>
      <c r="J7" s="111">
        <f>'MUN_LEI 9478'!J7</f>
        <v>586607.1</v>
      </c>
      <c r="K7" s="111">
        <f>'MUN_LEI 9478'!K7</f>
        <v>676544.49999999988</v>
      </c>
      <c r="L7" s="111">
        <f>'MUN_LEI 9478'!L7</f>
        <v>717911.3</v>
      </c>
      <c r="M7" s="111">
        <f>'MUN_LEI 9478'!M7</f>
        <v>742723.10000000009</v>
      </c>
      <c r="N7" s="111">
        <f>'MUN_LEI 9478'!N7</f>
        <v>731335.1</v>
      </c>
      <c r="O7" s="111">
        <f>'MUN_LEI 9478'!O7</f>
        <v>729134.69999999984</v>
      </c>
      <c r="P7" s="111">
        <f>'MUN_LEI 9478'!P7</f>
        <v>774863.43</v>
      </c>
      <c r="Q7" s="112">
        <f t="shared" si="0"/>
        <v>7904526.0299999984</v>
      </c>
    </row>
    <row r="8" spans="1:17" x14ac:dyDescent="0.15">
      <c r="A8" s="285"/>
      <c r="B8" s="286"/>
      <c r="C8" s="286" t="s">
        <v>2</v>
      </c>
      <c r="D8" s="98" t="s">
        <v>6</v>
      </c>
      <c r="E8" s="111">
        <f>'MUN_LEI 9478'!E8</f>
        <v>207657.36000000002</v>
      </c>
      <c r="F8" s="111">
        <f>'MUN_LEI 9478'!F8</f>
        <v>170964.09999999998</v>
      </c>
      <c r="G8" s="111">
        <f>'MUN_LEI 9478'!G8</f>
        <v>217885.08</v>
      </c>
      <c r="H8" s="111">
        <f>'MUN_LEI 9478'!H8</f>
        <v>183272.57</v>
      </c>
      <c r="I8" s="111">
        <f>'MUN_LEI 9478'!I8</f>
        <v>184677.40000000002</v>
      </c>
      <c r="J8" s="111">
        <f>'MUN_LEI 9478'!J8</f>
        <v>203926.51</v>
      </c>
      <c r="K8" s="111">
        <f>'MUN_LEI 9478'!K8</f>
        <v>206006.69999999998</v>
      </c>
      <c r="L8" s="111">
        <f>'MUN_LEI 9478'!L8</f>
        <v>226770.43</v>
      </c>
      <c r="M8" s="111">
        <f>'MUN_LEI 9478'!M8</f>
        <v>226200.50999999998</v>
      </c>
      <c r="N8" s="111">
        <f>'MUN_LEI 9478'!N8</f>
        <v>258899.78000000003</v>
      </c>
      <c r="O8" s="111">
        <f>'MUN_LEI 9478'!O8</f>
        <v>263447.18</v>
      </c>
      <c r="P8" s="111">
        <f>'MUN_LEI 9478'!P8</f>
        <v>264457.33</v>
      </c>
      <c r="Q8" s="112">
        <f t="shared" si="0"/>
        <v>2614164.9500000002</v>
      </c>
    </row>
    <row r="9" spans="1:17" x14ac:dyDescent="0.15">
      <c r="A9" s="285"/>
      <c r="B9" s="286"/>
      <c r="C9" s="286"/>
      <c r="D9" s="98" t="s">
        <v>1</v>
      </c>
      <c r="E9" s="111">
        <f>'MUN_LEI 9478'!E9</f>
        <v>142286.15</v>
      </c>
      <c r="F9" s="111">
        <f>'MUN_LEI 9478'!F9</f>
        <v>115940.01000000001</v>
      </c>
      <c r="G9" s="111">
        <f>'MUN_LEI 9478'!G9</f>
        <v>166992.54</v>
      </c>
      <c r="H9" s="111">
        <f>'MUN_LEI 9478'!H9</f>
        <v>146156.46</v>
      </c>
      <c r="I9" s="111">
        <f>'MUN_LEI 9478'!I9</f>
        <v>157577.85999999999</v>
      </c>
      <c r="J9" s="111">
        <f>'MUN_LEI 9478'!J9</f>
        <v>168387.18</v>
      </c>
      <c r="K9" s="111">
        <f>'MUN_LEI 9478'!K9</f>
        <v>185480.17</v>
      </c>
      <c r="L9" s="111">
        <f>'MUN_LEI 9478'!L9</f>
        <v>189256.45</v>
      </c>
      <c r="M9" s="111">
        <f>'MUN_LEI 9478'!M9</f>
        <v>190663.27</v>
      </c>
      <c r="N9" s="111">
        <f>'MUN_LEI 9478'!N9</f>
        <v>199554.16</v>
      </c>
      <c r="O9" s="111">
        <f>'MUN_LEI 9478'!O9</f>
        <v>224178.65</v>
      </c>
      <c r="P9" s="111">
        <f>'MUN_LEI 9478'!P9</f>
        <v>218135.11</v>
      </c>
      <c r="Q9" s="112">
        <f t="shared" si="0"/>
        <v>2104608.0099999998</v>
      </c>
    </row>
    <row r="10" spans="1:17" x14ac:dyDescent="0.15">
      <c r="A10" s="285"/>
      <c r="B10" s="307" t="s">
        <v>7</v>
      </c>
      <c r="C10" s="307"/>
      <c r="D10" s="307"/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111">
        <v>0</v>
      </c>
      <c r="P10" s="111">
        <v>0</v>
      </c>
      <c r="Q10" s="112">
        <f t="shared" si="0"/>
        <v>0</v>
      </c>
    </row>
    <row r="11" spans="1:17" x14ac:dyDescent="0.15">
      <c r="A11" s="285" t="s">
        <v>8</v>
      </c>
      <c r="B11" s="286" t="s">
        <v>3</v>
      </c>
      <c r="C11" s="306">
        <v>0.05</v>
      </c>
      <c r="D11" s="98" t="s">
        <v>0</v>
      </c>
      <c r="E11" s="111">
        <f>('MUN_LEI 9478'!E11*0.17)/0.3</f>
        <v>0</v>
      </c>
      <c r="F11" s="111">
        <f>('MUN_LEI 9478'!F11*0.17)/0.3</f>
        <v>0</v>
      </c>
      <c r="G11" s="111">
        <f>('MUN_LEI 9478'!G11*0.17)/0.3</f>
        <v>0</v>
      </c>
      <c r="H11" s="111">
        <f>('MUN_LEI 9478'!H11*0.17)/0.3</f>
        <v>0</v>
      </c>
      <c r="I11" s="111">
        <f>('MUN_LEI 9478'!I11*0.17)/0.3</f>
        <v>0</v>
      </c>
      <c r="J11" s="111">
        <f>('MUN_LEI 9478'!J11*0.17)/0.3</f>
        <v>0</v>
      </c>
      <c r="K11" s="111">
        <f>('MUN_LEI 9478'!K11*0.17)/0.3</f>
        <v>0</v>
      </c>
      <c r="L11" s="111">
        <f>('MUN_LEI 9478'!L11*0.17)/0.3</f>
        <v>0</v>
      </c>
      <c r="M11" s="111">
        <f>('MUN_LEI 9478'!M11*0.17)/0.3</f>
        <v>0</v>
      </c>
      <c r="N11" s="111">
        <f>('MUN_LEI 9478'!N11*0.17)/0.3</f>
        <v>0</v>
      </c>
      <c r="O11" s="111">
        <f>('MUN_LEI 9478'!O11*0.17)/0.3</f>
        <v>0</v>
      </c>
      <c r="P11" s="111">
        <f>('MUN_LEI 9478'!P11*0.17)/0.3</f>
        <v>0</v>
      </c>
      <c r="Q11" s="112">
        <f t="shared" si="0"/>
        <v>0</v>
      </c>
    </row>
    <row r="12" spans="1:17" x14ac:dyDescent="0.15">
      <c r="A12" s="285"/>
      <c r="B12" s="286"/>
      <c r="C12" s="286"/>
      <c r="D12" s="98" t="s">
        <v>1</v>
      </c>
      <c r="E12" s="111">
        <f>('MUN_LEI 9478'!E12*0.03)/0.1</f>
        <v>678424.58699999994</v>
      </c>
      <c r="F12" s="111">
        <f>('MUN_LEI 9478'!F12*0.03)/0.1</f>
        <v>748155.21900000004</v>
      </c>
      <c r="G12" s="111">
        <f>('MUN_LEI 9478'!G12*0.03)/0.1</f>
        <v>920515.04399999988</v>
      </c>
      <c r="H12" s="111">
        <f>('MUN_LEI 9478'!H12*0.03)/0.1</f>
        <v>775342.15199999989</v>
      </c>
      <c r="I12" s="111">
        <f>('MUN_LEI 9478'!I12*0.03)/0.1</f>
        <v>851458.95600000001</v>
      </c>
      <c r="J12" s="111">
        <f>('MUN_LEI 9478'!J12*0.03)/0.1</f>
        <v>902731.728</v>
      </c>
      <c r="K12" s="111">
        <f>('MUN_LEI 9478'!K12*0.03)/0.1</f>
        <v>1086066.4319999998</v>
      </c>
      <c r="L12" s="111">
        <f>('MUN_LEI 9478'!L12*0.03)/0.1</f>
        <v>1110929.9519999998</v>
      </c>
      <c r="M12" s="111">
        <f>('MUN_LEI 9478'!M12*0.03)/0.1</f>
        <v>1123190.7750000001</v>
      </c>
      <c r="N12" s="111">
        <f>('MUN_LEI 9478'!N12*0.03)/0.1</f>
        <v>1052751.828</v>
      </c>
      <c r="O12" s="111">
        <f>('MUN_LEI 9478'!O12*0.03)/0.1</f>
        <v>1123378.5059999996</v>
      </c>
      <c r="P12" s="111">
        <f>('MUN_LEI 9478'!P12*0.03)/0.1</f>
        <v>1143004.584</v>
      </c>
      <c r="Q12" s="112">
        <f t="shared" si="0"/>
        <v>11515949.763</v>
      </c>
    </row>
    <row r="13" spans="1:17" x14ac:dyDescent="0.15">
      <c r="A13" s="285"/>
      <c r="B13" s="286"/>
      <c r="C13" s="286" t="s">
        <v>2</v>
      </c>
      <c r="D13" s="98" t="s">
        <v>0</v>
      </c>
      <c r="E13" s="111">
        <f>('MUN_LEI 9478'!E13*0.17)/0.225</f>
        <v>0</v>
      </c>
      <c r="F13" s="111">
        <f>('MUN_LEI 9478'!F13*0.17)/0.225</f>
        <v>0</v>
      </c>
      <c r="G13" s="111">
        <f>('MUN_LEI 9478'!G13*0.17)/0.225</f>
        <v>0</v>
      </c>
      <c r="H13" s="111">
        <f>('MUN_LEI 9478'!H13*0.17)/0.225</f>
        <v>0</v>
      </c>
      <c r="I13" s="111">
        <f>('MUN_LEI 9478'!I13*0.17)/0.225</f>
        <v>0</v>
      </c>
      <c r="J13" s="111">
        <f>('MUN_LEI 9478'!J13*0.17)/0.225</f>
        <v>0</v>
      </c>
      <c r="K13" s="111">
        <f>('MUN_LEI 9478'!K13*0.17)/0.225</f>
        <v>0</v>
      </c>
      <c r="L13" s="111">
        <f>('MUN_LEI 9478'!L13*0.17)/0.225</f>
        <v>0</v>
      </c>
      <c r="M13" s="111">
        <f>('MUN_LEI 9478'!M13*0.17)/0.225</f>
        <v>0</v>
      </c>
      <c r="N13" s="111">
        <f>('MUN_LEI 9478'!N13*0.17)/0.225</f>
        <v>0</v>
      </c>
      <c r="O13" s="111">
        <f>('MUN_LEI 9478'!O13*0.17)/0.225</f>
        <v>0</v>
      </c>
      <c r="P13" s="111">
        <f>('MUN_LEI 9478'!P13*0.17)/0.225</f>
        <v>0</v>
      </c>
      <c r="Q13" s="112">
        <f t="shared" si="0"/>
        <v>0</v>
      </c>
    </row>
    <row r="14" spans="1:17" x14ac:dyDescent="0.15">
      <c r="A14" s="285"/>
      <c r="B14" s="286"/>
      <c r="C14" s="286"/>
      <c r="D14" s="98" t="s">
        <v>1</v>
      </c>
      <c r="E14" s="111">
        <f>('MUN_LEI 9478'!E14*0.03)/0.075</f>
        <v>48798.52399999999</v>
      </c>
      <c r="F14" s="111">
        <f>('MUN_LEI 9478'!F14*0.03)/0.075</f>
        <v>25700.467999999997</v>
      </c>
      <c r="G14" s="111">
        <f>('MUN_LEI 9478'!G14*0.03)/0.075</f>
        <v>44136.3</v>
      </c>
      <c r="H14" s="111">
        <f>('MUN_LEI 9478'!H14*0.03)/0.075</f>
        <v>19069.796000000002</v>
      </c>
      <c r="I14" s="111">
        <f>('MUN_LEI 9478'!I14*0.03)/0.075</f>
        <v>16865.496000000006</v>
      </c>
      <c r="J14" s="111">
        <f>('MUN_LEI 9478'!J14*0.03)/0.075</f>
        <v>18425.611999999997</v>
      </c>
      <c r="K14" s="111">
        <f>('MUN_LEI 9478'!K14*0.03)/0.075</f>
        <v>42681.756000000008</v>
      </c>
      <c r="L14" s="111">
        <f>('MUN_LEI 9478'!L14*0.03)/0.075</f>
        <v>12479.692000000001</v>
      </c>
      <c r="M14" s="111">
        <f>('MUN_LEI 9478'!M14*0.03)/0.075</f>
        <v>10407.34</v>
      </c>
      <c r="N14" s="111">
        <f>('MUN_LEI 9478'!N14*0.03)/0.075</f>
        <v>5684.04</v>
      </c>
      <c r="O14" s="111">
        <f>('MUN_LEI 9478'!O14*0.03)/0.075</f>
        <v>10621.56</v>
      </c>
      <c r="P14" s="111">
        <f>('MUN_LEI 9478'!P14*0.03)/0.075</f>
        <v>14997.084000000003</v>
      </c>
      <c r="Q14" s="112">
        <f t="shared" si="0"/>
        <v>269867.66800000001</v>
      </c>
    </row>
    <row r="15" spans="1:17" x14ac:dyDescent="0.15">
      <c r="A15" s="285"/>
      <c r="B15" s="286" t="s">
        <v>5</v>
      </c>
      <c r="C15" s="306">
        <v>0.05</v>
      </c>
      <c r="D15" s="98" t="s">
        <v>6</v>
      </c>
      <c r="E15" s="111">
        <f>'MUN_LEI 9478'!E15</f>
        <v>2525587.3899999997</v>
      </c>
      <c r="F15" s="111">
        <f>'MUN_LEI 9478'!F15</f>
        <v>2548711.9699999997</v>
      </c>
      <c r="G15" s="111">
        <f>'MUN_LEI 9478'!G15</f>
        <v>2735107.39</v>
      </c>
      <c r="H15" s="111">
        <f>'MUN_LEI 9478'!H15</f>
        <v>2444353.31</v>
      </c>
      <c r="I15" s="111">
        <f>'MUN_LEI 9478'!I15</f>
        <v>2666978.5099999998</v>
      </c>
      <c r="J15" s="111">
        <f>'MUN_LEI 9478'!J15</f>
        <v>2908452.87</v>
      </c>
      <c r="K15" s="111">
        <f>'MUN_LEI 9478'!K15</f>
        <v>3376972.66</v>
      </c>
      <c r="L15" s="111">
        <f>'MUN_LEI 9478'!L15</f>
        <v>3264579.8000000003</v>
      </c>
      <c r="M15" s="111">
        <f>'MUN_LEI 9478'!M15</f>
        <v>3365893.9</v>
      </c>
      <c r="N15" s="111">
        <f>'MUN_LEI 9478'!N15</f>
        <v>3644240.12</v>
      </c>
      <c r="O15" s="111">
        <f>'MUN_LEI 9478'!O15</f>
        <v>3893915.7</v>
      </c>
      <c r="P15" s="111">
        <f>'MUN_LEI 9478'!P15</f>
        <v>3605531.31</v>
      </c>
      <c r="Q15" s="112">
        <f t="shared" si="0"/>
        <v>36980324.93</v>
      </c>
    </row>
    <row r="16" spans="1:17" x14ac:dyDescent="0.15">
      <c r="A16" s="285"/>
      <c r="B16" s="286"/>
      <c r="C16" s="286"/>
      <c r="D16" s="98" t="s">
        <v>1</v>
      </c>
      <c r="E16" s="111">
        <f>'MUN_LEI 9478'!E16</f>
        <v>216718.5</v>
      </c>
      <c r="F16" s="111">
        <f>'MUN_LEI 9478'!F16</f>
        <v>235298.6</v>
      </c>
      <c r="G16" s="111">
        <f>'MUN_LEI 9478'!G16</f>
        <v>285842.43000000005</v>
      </c>
      <c r="H16" s="111">
        <f>'MUN_LEI 9478'!H16</f>
        <v>220940.78999999998</v>
      </c>
      <c r="I16" s="111">
        <f>'MUN_LEI 9478'!I16</f>
        <v>235809.54</v>
      </c>
      <c r="J16" s="111">
        <f>'MUN_LEI 9478'!J16</f>
        <v>252692.27999999997</v>
      </c>
      <c r="K16" s="111">
        <f>'MUN_LEI 9478'!K16</f>
        <v>287118.87</v>
      </c>
      <c r="L16" s="111">
        <f>'MUN_LEI 9478'!L16</f>
        <v>298585.82999999996</v>
      </c>
      <c r="M16" s="111">
        <f>'MUN_LEI 9478'!M16</f>
        <v>308905.28999999998</v>
      </c>
      <c r="N16" s="111">
        <f>'MUN_LEI 9478'!N16</f>
        <v>308205.50999999995</v>
      </c>
      <c r="O16" s="111">
        <f>'MUN_LEI 9478'!O16</f>
        <v>322354.28999999998</v>
      </c>
      <c r="P16" s="111">
        <f>'MUN_LEI 9478'!P16</f>
        <v>303443.01</v>
      </c>
      <c r="Q16" s="112">
        <f t="shared" si="0"/>
        <v>3275914.9400000004</v>
      </c>
    </row>
    <row r="17" spans="1:17" x14ac:dyDescent="0.15">
      <c r="A17" s="285"/>
      <c r="B17" s="286"/>
      <c r="C17" s="286" t="s">
        <v>2</v>
      </c>
      <c r="D17" s="98" t="s">
        <v>6</v>
      </c>
      <c r="E17" s="111">
        <f>'MUN_LEI 9478'!E17</f>
        <v>1812028.1300000001</v>
      </c>
      <c r="F17" s="111">
        <f>'MUN_LEI 9478'!F17</f>
        <v>1808769.76</v>
      </c>
      <c r="G17" s="111">
        <f>'MUN_LEI 9478'!G17</f>
        <v>1931063.48</v>
      </c>
      <c r="H17" s="111">
        <f>'MUN_LEI 9478'!H17</f>
        <v>1738089.3</v>
      </c>
      <c r="I17" s="111">
        <f>'MUN_LEI 9478'!I17</f>
        <v>1897271.8</v>
      </c>
      <c r="J17" s="111">
        <f>'MUN_LEI 9478'!J17</f>
        <v>2072741.1199999999</v>
      </c>
      <c r="K17" s="111">
        <f>'MUN_LEI 9478'!K17</f>
        <v>2408253.5499999998</v>
      </c>
      <c r="L17" s="111">
        <f>'MUN_LEI 9478'!L17</f>
        <v>2312303.0499999998</v>
      </c>
      <c r="M17" s="111">
        <f>'MUN_LEI 9478'!M17</f>
        <v>2389571.19</v>
      </c>
      <c r="N17" s="111">
        <f>'MUN_LEI 9478'!N17</f>
        <v>2595108.09</v>
      </c>
      <c r="O17" s="111">
        <f>'MUN_LEI 9478'!O17</f>
        <v>2772628.8899999997</v>
      </c>
      <c r="P17" s="111">
        <f>'MUN_LEI 9478'!P17</f>
        <v>2563262.71</v>
      </c>
      <c r="Q17" s="112">
        <f t="shared" si="0"/>
        <v>26301091.070000004</v>
      </c>
    </row>
    <row r="18" spans="1:17" x14ac:dyDescent="0.15">
      <c r="A18" s="285"/>
      <c r="B18" s="286"/>
      <c r="C18" s="286"/>
      <c r="D18" s="98" t="s">
        <v>1</v>
      </c>
      <c r="E18" s="111">
        <f>'MUN_LEI 9478'!E18</f>
        <v>848760.55999999994</v>
      </c>
      <c r="F18" s="111">
        <f>'MUN_LEI 9478'!F18</f>
        <v>775698.24</v>
      </c>
      <c r="G18" s="111">
        <f>'MUN_LEI 9478'!G18</f>
        <v>742948.23</v>
      </c>
      <c r="H18" s="111">
        <f>'MUN_LEI 9478'!H18</f>
        <v>696840.04</v>
      </c>
      <c r="I18" s="111">
        <f>'MUN_LEI 9478'!I18</f>
        <v>757727.42</v>
      </c>
      <c r="J18" s="111">
        <f>'MUN_LEI 9478'!J18</f>
        <v>822819.38000000012</v>
      </c>
      <c r="K18" s="111">
        <f>'MUN_LEI 9478'!K18</f>
        <v>1016275.51</v>
      </c>
      <c r="L18" s="111">
        <f>'MUN_LEI 9478'!L18</f>
        <v>1055528.3799999999</v>
      </c>
      <c r="M18" s="111">
        <f>'MUN_LEI 9478'!M18</f>
        <v>1111008.31</v>
      </c>
      <c r="N18" s="111">
        <f>'MUN_LEI 9478'!N18</f>
        <v>1144320.05</v>
      </c>
      <c r="O18" s="111">
        <f>'MUN_LEI 9478'!O18</f>
        <v>1324907.68</v>
      </c>
      <c r="P18" s="111">
        <f>'MUN_LEI 9478'!P18</f>
        <v>1243923.24</v>
      </c>
      <c r="Q18" s="112">
        <f t="shared" si="0"/>
        <v>11540757.040000001</v>
      </c>
    </row>
    <row r="19" spans="1:17" x14ac:dyDescent="0.15">
      <c r="A19" s="285"/>
      <c r="B19" s="307" t="s">
        <v>7</v>
      </c>
      <c r="C19" s="307"/>
      <c r="D19" s="307"/>
      <c r="F19" s="111">
        <v>0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  <c r="O19" s="111">
        <v>0</v>
      </c>
      <c r="P19" s="111">
        <v>0</v>
      </c>
      <c r="Q19" s="112">
        <f>SUM(F19:P19)</f>
        <v>0</v>
      </c>
    </row>
    <row r="20" spans="1:17" x14ac:dyDescent="0.15">
      <c r="A20" s="285" t="s">
        <v>9</v>
      </c>
      <c r="B20" s="286" t="s">
        <v>3</v>
      </c>
      <c r="C20" s="306">
        <v>0.05</v>
      </c>
      <c r="D20" s="98" t="s">
        <v>0</v>
      </c>
      <c r="E20" s="111">
        <f>('MUN_LEI 9478'!E20*0.17)/0.3</f>
        <v>0</v>
      </c>
      <c r="F20" s="111">
        <f>('MUN_LEI 9478'!F20*0.17)/0.3</f>
        <v>0</v>
      </c>
      <c r="G20" s="111">
        <f>('MUN_LEI 9478'!G20*0.17)/0.3</f>
        <v>0</v>
      </c>
      <c r="H20" s="111">
        <f>('MUN_LEI 9478'!H20*0.17)/0.3</f>
        <v>0</v>
      </c>
      <c r="I20" s="111">
        <f>('MUN_LEI 9478'!I20*0.17)/0.3</f>
        <v>0</v>
      </c>
      <c r="J20" s="111">
        <f>('MUN_LEI 9478'!J20*0.17)/0.3</f>
        <v>0</v>
      </c>
      <c r="K20" s="111">
        <f>('MUN_LEI 9478'!K20*0.17)/0.3</f>
        <v>0</v>
      </c>
      <c r="L20" s="111">
        <f>('MUN_LEI 9478'!L20*0.17)/0.3</f>
        <v>0</v>
      </c>
      <c r="M20" s="111">
        <f>('MUN_LEI 9478'!M20*0.17)/0.3</f>
        <v>0</v>
      </c>
      <c r="N20" s="111">
        <f>('MUN_LEI 9478'!N20*0.17)/0.3</f>
        <v>0</v>
      </c>
      <c r="O20" s="111">
        <f>('MUN_LEI 9478'!O20*0.17)/0.3</f>
        <v>0</v>
      </c>
      <c r="P20" s="111">
        <f>('MUN_LEI 9478'!P20*0.17)/0.3</f>
        <v>0</v>
      </c>
      <c r="Q20" s="112">
        <f t="shared" si="0"/>
        <v>0</v>
      </c>
    </row>
    <row r="21" spans="1:17" x14ac:dyDescent="0.15">
      <c r="A21" s="285"/>
      <c r="B21" s="286"/>
      <c r="C21" s="286"/>
      <c r="D21" s="98" t="s">
        <v>1</v>
      </c>
      <c r="E21" s="111">
        <f>('MUN_LEI 9478'!E21*0.03)/0.1</f>
        <v>0</v>
      </c>
      <c r="F21" s="111">
        <f>('MUN_LEI 9478'!F21*0.03)/0.1</f>
        <v>0</v>
      </c>
      <c r="G21" s="111">
        <f>('MUN_LEI 9478'!G21*0.03)/0.1</f>
        <v>0</v>
      </c>
      <c r="H21" s="111">
        <f>('MUN_LEI 9478'!H21*0.03)/0.1</f>
        <v>0</v>
      </c>
      <c r="I21" s="111">
        <f>('MUN_LEI 9478'!I21*0.03)/0.1</f>
        <v>0</v>
      </c>
      <c r="J21" s="111">
        <f>('MUN_LEI 9478'!J21*0.03)/0.1</f>
        <v>0</v>
      </c>
      <c r="K21" s="111">
        <f>('MUN_LEI 9478'!K21*0.03)/0.1</f>
        <v>0</v>
      </c>
      <c r="L21" s="111">
        <f>('MUN_LEI 9478'!L21*0.03)/0.1</f>
        <v>0</v>
      </c>
      <c r="M21" s="111">
        <f>('MUN_LEI 9478'!M21*0.03)/0.1</f>
        <v>0</v>
      </c>
      <c r="N21" s="111">
        <f>('MUN_LEI 9478'!N21*0.03)/0.1</f>
        <v>0</v>
      </c>
      <c r="O21" s="111">
        <f>('MUN_LEI 9478'!O21*0.03)/0.1</f>
        <v>0</v>
      </c>
      <c r="P21" s="111">
        <f>('MUN_LEI 9478'!P21*0.03)/0.1</f>
        <v>0</v>
      </c>
      <c r="Q21" s="112">
        <f t="shared" si="0"/>
        <v>0</v>
      </c>
    </row>
    <row r="22" spans="1:17" x14ac:dyDescent="0.15">
      <c r="A22" s="285"/>
      <c r="B22" s="286"/>
      <c r="C22" s="286" t="s">
        <v>2</v>
      </c>
      <c r="D22" s="98" t="s">
        <v>0</v>
      </c>
      <c r="E22" s="111">
        <f>('MUN_LEI 9478'!E22*0.17)/0.225</f>
        <v>0</v>
      </c>
      <c r="F22" s="111">
        <f>('MUN_LEI 9478'!F22*0.17)/0.225</f>
        <v>0</v>
      </c>
      <c r="G22" s="111">
        <f>('MUN_LEI 9478'!G22*0.17)/0.225</f>
        <v>0</v>
      </c>
      <c r="H22" s="111">
        <f>('MUN_LEI 9478'!H22*0.17)/0.225</f>
        <v>0</v>
      </c>
      <c r="I22" s="111">
        <f>('MUN_LEI 9478'!I22*0.17)/0.225</f>
        <v>0</v>
      </c>
      <c r="J22" s="111">
        <f>('MUN_LEI 9478'!J22*0.17)/0.225</f>
        <v>0</v>
      </c>
      <c r="K22" s="111">
        <f>('MUN_LEI 9478'!K22*0.17)/0.225</f>
        <v>0</v>
      </c>
      <c r="L22" s="111">
        <f>('MUN_LEI 9478'!L22*0.17)/0.225</f>
        <v>0</v>
      </c>
      <c r="M22" s="111">
        <f>('MUN_LEI 9478'!M22*0.17)/0.225</f>
        <v>0</v>
      </c>
      <c r="N22" s="111">
        <f>('MUN_LEI 9478'!N22*0.17)/0.225</f>
        <v>0</v>
      </c>
      <c r="O22" s="111">
        <f>('MUN_LEI 9478'!O22*0.17)/0.225</f>
        <v>0</v>
      </c>
      <c r="P22" s="111">
        <f>('MUN_LEI 9478'!P22*0.17)/0.225</f>
        <v>0</v>
      </c>
      <c r="Q22" s="112">
        <f t="shared" si="0"/>
        <v>0</v>
      </c>
    </row>
    <row r="23" spans="1:17" x14ac:dyDescent="0.15">
      <c r="A23" s="285"/>
      <c r="B23" s="286"/>
      <c r="C23" s="286"/>
      <c r="D23" s="98" t="s">
        <v>1</v>
      </c>
      <c r="E23" s="111">
        <f>('MUN_LEI 9478'!E23*0.03)/0.075</f>
        <v>5166.8759999999993</v>
      </c>
      <c r="F23" s="111">
        <f>('MUN_LEI 9478'!F23*0.03)/0.075</f>
        <v>2721.2039999999997</v>
      </c>
      <c r="G23" s="111">
        <f>('MUN_LEI 9478'!G23*0.03)/0.075</f>
        <v>4673.2439999999997</v>
      </c>
      <c r="H23" s="111">
        <f>('MUN_LEI 9478'!H23*0.03)/0.075</f>
        <v>2019.144</v>
      </c>
      <c r="I23" s="111">
        <f>('MUN_LEI 9478'!I23*0.03)/0.075</f>
        <v>1785.7439999999997</v>
      </c>
      <c r="J23" s="111">
        <f>('MUN_LEI 9478'!J23*0.03)/0.075</f>
        <v>1950.9360000000001</v>
      </c>
      <c r="K23" s="111">
        <f>('MUN_LEI 9478'!K23*0.03)/0.075</f>
        <v>4490.7239999999993</v>
      </c>
      <c r="L23" s="111">
        <f>('MUN_LEI 9478'!L23*0.03)/0.075</f>
        <v>1321.3679999999999</v>
      </c>
      <c r="M23" s="111">
        <f>('MUN_LEI 9478'!M23*0.03)/0.075</f>
        <v>1101.9360000000001</v>
      </c>
      <c r="N23" s="111">
        <f>('MUN_LEI 9478'!N23*0.03)/0.075</f>
        <v>601.82399999999996</v>
      </c>
      <c r="O23" s="111">
        <f>('MUN_LEI 9478'!O23*0.03)/0.075</f>
        <v>1124.6279999999999</v>
      </c>
      <c r="P23" s="111">
        <f>('MUN_LEI 9478'!P23*0.03)/0.075</f>
        <v>1587.9119999999998</v>
      </c>
      <c r="Q23" s="112">
        <f t="shared" si="0"/>
        <v>28545.54</v>
      </c>
    </row>
    <row r="24" spans="1:17" x14ac:dyDescent="0.15">
      <c r="A24" s="285"/>
      <c r="B24" s="286" t="s">
        <v>5</v>
      </c>
      <c r="C24" s="306">
        <v>0.05</v>
      </c>
      <c r="D24" s="98" t="s">
        <v>6</v>
      </c>
      <c r="E24" s="111">
        <f>'MUN_LEI 9478'!E24</f>
        <v>0</v>
      </c>
      <c r="F24" s="111">
        <f>'MUN_LEI 9478'!F24</f>
        <v>0</v>
      </c>
      <c r="G24" s="111">
        <f>'MUN_LEI 9478'!G24</f>
        <v>0</v>
      </c>
      <c r="H24" s="111">
        <f>'MUN_LEI 9478'!H24</f>
        <v>0</v>
      </c>
      <c r="I24" s="111">
        <f>'MUN_LEI 9478'!I24</f>
        <v>0</v>
      </c>
      <c r="J24" s="111">
        <f>'MUN_LEI 9478'!J24</f>
        <v>0</v>
      </c>
      <c r="K24" s="111">
        <f>'MUN_LEI 9478'!K24</f>
        <v>0</v>
      </c>
      <c r="L24" s="111">
        <f>'MUN_LEI 9478'!L24</f>
        <v>0</v>
      </c>
      <c r="M24" s="111">
        <f>'MUN_LEI 9478'!M24</f>
        <v>0</v>
      </c>
      <c r="N24" s="111">
        <f>'MUN_LEI 9478'!N24</f>
        <v>0</v>
      </c>
      <c r="O24" s="111">
        <f>'MUN_LEI 9478'!O24</f>
        <v>0</v>
      </c>
      <c r="P24" s="111">
        <f>'MUN_LEI 9478'!P24</f>
        <v>0</v>
      </c>
      <c r="Q24" s="112">
        <f t="shared" si="0"/>
        <v>0</v>
      </c>
    </row>
    <row r="25" spans="1:17" x14ac:dyDescent="0.15">
      <c r="A25" s="285"/>
      <c r="B25" s="286"/>
      <c r="C25" s="286"/>
      <c r="D25" s="98" t="s">
        <v>1</v>
      </c>
      <c r="E25" s="111">
        <f>'MUN_LEI 9478'!E25</f>
        <v>0</v>
      </c>
      <c r="F25" s="111">
        <f>'MUN_LEI 9478'!F25</f>
        <v>0</v>
      </c>
      <c r="G25" s="111">
        <f>'MUN_LEI 9478'!G25</f>
        <v>0</v>
      </c>
      <c r="H25" s="111">
        <f>'MUN_LEI 9478'!H25</f>
        <v>0</v>
      </c>
      <c r="I25" s="111">
        <f>'MUN_LEI 9478'!I25</f>
        <v>0</v>
      </c>
      <c r="J25" s="111">
        <f>'MUN_LEI 9478'!J25</f>
        <v>0</v>
      </c>
      <c r="K25" s="111">
        <f>'MUN_LEI 9478'!K25</f>
        <v>0</v>
      </c>
      <c r="L25" s="111">
        <f>'MUN_LEI 9478'!L25</f>
        <v>0</v>
      </c>
      <c r="M25" s="111">
        <f>'MUN_LEI 9478'!M25</f>
        <v>0</v>
      </c>
      <c r="N25" s="111">
        <f>'MUN_LEI 9478'!N25</f>
        <v>0</v>
      </c>
      <c r="O25" s="111">
        <f>'MUN_LEI 9478'!O25</f>
        <v>0</v>
      </c>
      <c r="P25" s="111">
        <f>'MUN_LEI 9478'!P25</f>
        <v>0</v>
      </c>
      <c r="Q25" s="112">
        <f t="shared" si="0"/>
        <v>0</v>
      </c>
    </row>
    <row r="26" spans="1:17" x14ac:dyDescent="0.15">
      <c r="A26" s="285"/>
      <c r="B26" s="286"/>
      <c r="C26" s="286" t="s">
        <v>2</v>
      </c>
      <c r="D26" s="98" t="s">
        <v>6</v>
      </c>
      <c r="E26" s="111">
        <f>'MUN_LEI 9478'!E26</f>
        <v>0</v>
      </c>
      <c r="F26" s="111">
        <f>'MUN_LEI 9478'!F26</f>
        <v>0</v>
      </c>
      <c r="G26" s="111">
        <f>'MUN_LEI 9478'!G26</f>
        <v>0</v>
      </c>
      <c r="H26" s="111">
        <f>'MUN_LEI 9478'!H26</f>
        <v>0</v>
      </c>
      <c r="I26" s="111">
        <f>'MUN_LEI 9478'!I26</f>
        <v>0</v>
      </c>
      <c r="J26" s="111">
        <f>'MUN_LEI 9478'!J26</f>
        <v>0</v>
      </c>
      <c r="K26" s="111">
        <f>'MUN_LEI 9478'!K26</f>
        <v>0</v>
      </c>
      <c r="L26" s="111">
        <f>'MUN_LEI 9478'!L26</f>
        <v>0</v>
      </c>
      <c r="M26" s="111">
        <f>'MUN_LEI 9478'!M26</f>
        <v>0</v>
      </c>
      <c r="N26" s="111">
        <f>'MUN_LEI 9478'!N26</f>
        <v>0</v>
      </c>
      <c r="O26" s="111">
        <f>'MUN_LEI 9478'!O26</f>
        <v>0</v>
      </c>
      <c r="P26" s="111">
        <f>'MUN_LEI 9478'!P26</f>
        <v>0</v>
      </c>
      <c r="Q26" s="112">
        <f t="shared" si="0"/>
        <v>0</v>
      </c>
    </row>
    <row r="27" spans="1:17" x14ac:dyDescent="0.15">
      <c r="A27" s="285"/>
      <c r="B27" s="286"/>
      <c r="C27" s="286"/>
      <c r="D27" s="98" t="s">
        <v>1</v>
      </c>
      <c r="E27" s="111">
        <f>'MUN_LEI 9478'!E27</f>
        <v>15264.119999999999</v>
      </c>
      <c r="F27" s="111">
        <f>'MUN_LEI 9478'!F27</f>
        <v>14736.96</v>
      </c>
      <c r="G27" s="111">
        <f>'MUN_LEI 9478'!G27</f>
        <v>18164.37</v>
      </c>
      <c r="H27" s="111">
        <f>'MUN_LEI 9478'!H27</f>
        <v>15820.74</v>
      </c>
      <c r="I27" s="111">
        <f>'MUN_LEI 9478'!I27</f>
        <v>18450.57</v>
      </c>
      <c r="J27" s="111">
        <f>'MUN_LEI 9478'!J27</f>
        <v>19190.22</v>
      </c>
      <c r="K27" s="111">
        <f>'MUN_LEI 9478'!K27</f>
        <v>24998.760000000002</v>
      </c>
      <c r="L27" s="111">
        <f>'MUN_LEI 9478'!L27</f>
        <v>17892.27</v>
      </c>
      <c r="M27" s="111">
        <f>'MUN_LEI 9478'!M27</f>
        <v>17262.840000000004</v>
      </c>
      <c r="N27" s="111">
        <f>'MUN_LEI 9478'!N27</f>
        <v>17225.52</v>
      </c>
      <c r="O27" s="111">
        <f>'MUN_LEI 9478'!O27</f>
        <v>17547.54</v>
      </c>
      <c r="P27" s="111">
        <f>'MUN_LEI 9478'!P27</f>
        <v>10287.900000000001</v>
      </c>
      <c r="Q27" s="112">
        <f t="shared" si="0"/>
        <v>206841.80999999997</v>
      </c>
    </row>
    <row r="28" spans="1:17" x14ac:dyDescent="0.15">
      <c r="A28" s="285"/>
      <c r="B28" s="307" t="s">
        <v>7</v>
      </c>
      <c r="C28" s="307"/>
      <c r="D28" s="307"/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112">
        <f t="shared" si="0"/>
        <v>0</v>
      </c>
    </row>
    <row r="29" spans="1:17" x14ac:dyDescent="0.15">
      <c r="A29" s="285" t="s">
        <v>10</v>
      </c>
      <c r="B29" s="286" t="s">
        <v>3</v>
      </c>
      <c r="C29" s="306">
        <v>0.05</v>
      </c>
      <c r="D29" s="98" t="s">
        <v>0</v>
      </c>
      <c r="E29" s="111">
        <f>('MUN_LEI 9478'!E29*0.17)/0.3</f>
        <v>815218.76499999978</v>
      </c>
      <c r="F29" s="111">
        <f>('MUN_LEI 9478'!F29*0.17)/0.3</f>
        <v>873750.34300000046</v>
      </c>
      <c r="G29" s="111">
        <f>('MUN_LEI 9478'!G29*0.17)/0.3</f>
        <v>707796.79066666681</v>
      </c>
      <c r="H29" s="111">
        <f>('MUN_LEI 9478'!H29*0.17)/0.3</f>
        <v>631770.16699999978</v>
      </c>
      <c r="I29" s="111">
        <f>('MUN_LEI 9478'!I29*0.17)/0.3</f>
        <v>693975.28066666669</v>
      </c>
      <c r="J29" s="111">
        <f>('MUN_LEI 9478'!J29*0.17)/0.3</f>
        <v>637414.67699999979</v>
      </c>
      <c r="K29" s="111">
        <f>('MUN_LEI 9478'!K29*0.17)/0.3</f>
        <v>791928.94633333303</v>
      </c>
      <c r="L29" s="111">
        <f>('MUN_LEI 9478'!L29*0.17)/0.3</f>
        <v>760915.76700000023</v>
      </c>
      <c r="M29" s="111">
        <f>('MUN_LEI 9478'!M29*0.17)/0.3</f>
        <v>808829.29233333317</v>
      </c>
      <c r="N29" s="111">
        <f>('MUN_LEI 9478'!N29*0.17)/0.3</f>
        <v>818103.16066666634</v>
      </c>
      <c r="O29" s="111">
        <f>('MUN_LEI 9478'!O29*0.17)/0.3</f>
        <v>840354.4040000001</v>
      </c>
      <c r="P29" s="111">
        <f>('MUN_LEI 9478'!P29*0.17)/0.3</f>
        <v>834305.11833333306</v>
      </c>
      <c r="Q29" s="112">
        <f t="shared" si="0"/>
        <v>9214362.7119999975</v>
      </c>
    </row>
    <row r="30" spans="1:17" x14ac:dyDescent="0.15">
      <c r="A30" s="285"/>
      <c r="B30" s="286"/>
      <c r="C30" s="286"/>
      <c r="D30" s="98" t="s">
        <v>1</v>
      </c>
      <c r="E30" s="111">
        <f>('MUN_LEI 9478'!E30*0.03)/0.1</f>
        <v>4056112.9709999999</v>
      </c>
      <c r="F30" s="111">
        <f>('MUN_LEI 9478'!F30*0.03)/0.1</f>
        <v>4401309.5670000017</v>
      </c>
      <c r="G30" s="111">
        <f>('MUN_LEI 9478'!G30*0.03)/0.1</f>
        <v>4602575.1989999991</v>
      </c>
      <c r="H30" s="111">
        <f>('MUN_LEI 9478'!H30*0.03)/0.1</f>
        <v>3847142.6070000012</v>
      </c>
      <c r="I30" s="111">
        <f>('MUN_LEI 9478'!I30*0.03)/0.1</f>
        <v>4227934.1010000017</v>
      </c>
      <c r="J30" s="111">
        <f>('MUN_LEI 9478'!J30*0.03)/0.1</f>
        <v>4871234.1719999984</v>
      </c>
      <c r="K30" s="111">
        <f>('MUN_LEI 9478'!K30*0.03)/0.1</f>
        <v>5899315.379999998</v>
      </c>
      <c r="L30" s="111">
        <f>('MUN_LEI 9478'!L30*0.03)/0.1</f>
        <v>5820905.7000000011</v>
      </c>
      <c r="M30" s="111">
        <f>('MUN_LEI 9478'!M30*0.03)/0.1</f>
        <v>6154720.1850000005</v>
      </c>
      <c r="N30" s="111">
        <f>('MUN_LEI 9478'!N30*0.03)/0.1</f>
        <v>5775376.8539999994</v>
      </c>
      <c r="O30" s="111">
        <f>('MUN_LEI 9478'!O30*0.03)/0.1</f>
        <v>6342849.4050000012</v>
      </c>
      <c r="P30" s="111">
        <f>('MUN_LEI 9478'!P30*0.03)/0.1</f>
        <v>6819375.1800000025</v>
      </c>
      <c r="Q30" s="112">
        <f t="shared" si="0"/>
        <v>62818851.32100001</v>
      </c>
    </row>
    <row r="31" spans="1:17" x14ac:dyDescent="0.15">
      <c r="A31" s="285"/>
      <c r="B31" s="286"/>
      <c r="C31" s="286" t="s">
        <v>2</v>
      </c>
      <c r="D31" s="98" t="s">
        <v>0</v>
      </c>
      <c r="E31" s="111">
        <f>('MUN_LEI 9478'!E31*0.17)/0.225</f>
        <v>409122.5137777779</v>
      </c>
      <c r="F31" s="111">
        <f>('MUN_LEI 9478'!F31*0.17)/0.225</f>
        <v>438644.7893333332</v>
      </c>
      <c r="G31" s="111">
        <f>('MUN_LEI 9478'!G31*0.17)/0.225</f>
        <v>355605.81111111102</v>
      </c>
      <c r="H31" s="111">
        <f>('MUN_LEI 9478'!H31*0.17)/0.225</f>
        <v>317373.71777777781</v>
      </c>
      <c r="I31" s="111">
        <f>('MUN_LEI 9478'!I31*0.17)/0.225</f>
        <v>348643.67644444457</v>
      </c>
      <c r="J31" s="111">
        <f>('MUN_LEI 9478'!J31*0.17)/0.225</f>
        <v>320482.68533333327</v>
      </c>
      <c r="K31" s="111">
        <f>('MUN_LEI 9478'!K31*0.17)/0.225</f>
        <v>397917.81377777783</v>
      </c>
      <c r="L31" s="111">
        <f>('MUN_LEI 9478'!L31*0.17)/0.225</f>
        <v>381713.19466666668</v>
      </c>
      <c r="M31" s="111">
        <f>('MUN_LEI 9478'!M31*0.17)/0.225</f>
        <v>405810.35466666659</v>
      </c>
      <c r="N31" s="111">
        <f>('MUN_LEI 9478'!N31*0.17)/0.225</f>
        <v>410885.03599999991</v>
      </c>
      <c r="O31" s="111">
        <f>('MUN_LEI 9478'!O31*0.17)/0.225</f>
        <v>422241.224888889</v>
      </c>
      <c r="P31" s="111">
        <f>('MUN_LEI 9478'!P31*0.17)/0.225</f>
        <v>419550.6764444444</v>
      </c>
      <c r="Q31" s="112">
        <f t="shared" si="0"/>
        <v>4627991.4942222228</v>
      </c>
    </row>
    <row r="32" spans="1:17" x14ac:dyDescent="0.15">
      <c r="A32" s="285"/>
      <c r="B32" s="286"/>
      <c r="C32" s="286"/>
      <c r="D32" s="98" t="s">
        <v>1</v>
      </c>
      <c r="E32" s="111">
        <f>('MUN_LEI 9478'!E32*0.03)/0.075</f>
        <v>1016204.5560000001</v>
      </c>
      <c r="F32" s="111">
        <f>('MUN_LEI 9478'!F32*0.03)/0.075</f>
        <v>1564919.652</v>
      </c>
      <c r="G32" s="111">
        <f>('MUN_LEI 9478'!G32*0.03)/0.075</f>
        <v>1719871.82</v>
      </c>
      <c r="H32" s="111">
        <f>('MUN_LEI 9478'!H32*0.03)/0.075</f>
        <v>1354103.4680000001</v>
      </c>
      <c r="I32" s="111">
        <f>('MUN_LEI 9478'!I32*0.03)/0.075</f>
        <v>1928281.9680000001</v>
      </c>
      <c r="J32" s="111">
        <f>('MUN_LEI 9478'!J32*0.03)/0.075</f>
        <v>1828770.62</v>
      </c>
      <c r="K32" s="111">
        <f>('MUN_LEI 9478'!K32*0.03)/0.075</f>
        <v>2773233.2520000003</v>
      </c>
      <c r="L32" s="111">
        <f>('MUN_LEI 9478'!L32*0.03)/0.075</f>
        <v>2606275.0079999999</v>
      </c>
      <c r="M32" s="111">
        <f>('MUN_LEI 9478'!M32*0.03)/0.075</f>
        <v>2654339.4439999997</v>
      </c>
      <c r="N32" s="111">
        <f>('MUN_LEI 9478'!N32*0.03)/0.075</f>
        <v>2980007.1919999998</v>
      </c>
      <c r="O32" s="111">
        <f>('MUN_LEI 9478'!O32*0.03)/0.075</f>
        <v>3237632.8600000003</v>
      </c>
      <c r="P32" s="111">
        <f>('MUN_LEI 9478'!P32*0.03)/0.075</f>
        <v>2942918.6359999999</v>
      </c>
      <c r="Q32" s="112">
        <f t="shared" si="0"/>
        <v>26606558.475999996</v>
      </c>
    </row>
    <row r="33" spans="1:17" x14ac:dyDescent="0.15">
      <c r="A33" s="285"/>
      <c r="B33" s="286" t="s">
        <v>5</v>
      </c>
      <c r="C33" s="306">
        <v>0.05</v>
      </c>
      <c r="D33" s="98" t="s">
        <v>6</v>
      </c>
      <c r="E33" s="111">
        <f>'MUN_LEI 9478'!E33</f>
        <v>2110195.9900000007</v>
      </c>
      <c r="F33" s="111">
        <f>'MUN_LEI 9478'!F33</f>
        <v>2227376.88</v>
      </c>
      <c r="G33" s="111">
        <f>'MUN_LEI 9478'!G33</f>
        <v>2367529.8199999998</v>
      </c>
      <c r="H33" s="111">
        <f>'MUN_LEI 9478'!H33</f>
        <v>1958506.22</v>
      </c>
      <c r="I33" s="111">
        <f>'MUN_LEI 9478'!I33</f>
        <v>2137537.9</v>
      </c>
      <c r="J33" s="111">
        <f>'MUN_LEI 9478'!J33</f>
        <v>2284473.0700000003</v>
      </c>
      <c r="K33" s="111">
        <f>'MUN_LEI 9478'!K33</f>
        <v>2652058.3200000003</v>
      </c>
      <c r="L33" s="111">
        <f>'MUN_LEI 9478'!L33</f>
        <v>2636404.7199999993</v>
      </c>
      <c r="M33" s="111">
        <f>'MUN_LEI 9478'!M33</f>
        <v>2727459.5700000003</v>
      </c>
      <c r="N33" s="111">
        <f>'MUN_LEI 9478'!N33</f>
        <v>2767013.4999999995</v>
      </c>
      <c r="O33" s="111">
        <f>'MUN_LEI 9478'!O33</f>
        <v>3012227.05</v>
      </c>
      <c r="P33" s="111">
        <f>'MUN_LEI 9478'!P33</f>
        <v>3001696.17</v>
      </c>
      <c r="Q33" s="112">
        <f t="shared" si="0"/>
        <v>29882479.210000001</v>
      </c>
    </row>
    <row r="34" spans="1:17" x14ac:dyDescent="0.15">
      <c r="A34" s="285"/>
      <c r="B34" s="286"/>
      <c r="C34" s="286"/>
      <c r="D34" s="98" t="s">
        <v>1</v>
      </c>
      <c r="E34" s="111">
        <f>'MUN_LEI 9478'!E34</f>
        <v>818714.36999999988</v>
      </c>
      <c r="F34" s="111">
        <f>'MUN_LEI 9478'!F34</f>
        <v>873966.27</v>
      </c>
      <c r="G34" s="111">
        <f>'MUN_LEI 9478'!G34</f>
        <v>924223.86000000034</v>
      </c>
      <c r="H34" s="111">
        <f>'MUN_LEI 9478'!H34</f>
        <v>764404.34999999986</v>
      </c>
      <c r="I34" s="111">
        <f>'MUN_LEI 9478'!I34</f>
        <v>815846.79999999981</v>
      </c>
      <c r="J34" s="111">
        <f>'MUN_LEI 9478'!J34</f>
        <v>908488.91999999981</v>
      </c>
      <c r="K34" s="111">
        <f>'MUN_LEI 9478'!K34</f>
        <v>1036268.1199999996</v>
      </c>
      <c r="L34" s="111">
        <f>'MUN_LEI 9478'!L34</f>
        <v>1111130.8799999999</v>
      </c>
      <c r="M34" s="111">
        <f>'MUN_LEI 9478'!M34</f>
        <v>1149532.8000000003</v>
      </c>
      <c r="N34" s="111">
        <f>'MUN_LEI 9478'!N34</f>
        <v>1144017.06</v>
      </c>
      <c r="O34" s="111">
        <f>'MUN_LEI 9478'!O34</f>
        <v>1189640.8299999998</v>
      </c>
      <c r="P34" s="111">
        <f>'MUN_LEI 9478'!P34</f>
        <v>1192097.5499999998</v>
      </c>
      <c r="Q34" s="112">
        <f t="shared" si="0"/>
        <v>11928331.809999999</v>
      </c>
    </row>
    <row r="35" spans="1:17" x14ac:dyDescent="0.15">
      <c r="A35" s="285"/>
      <c r="B35" s="286"/>
      <c r="C35" s="286" t="s">
        <v>2</v>
      </c>
      <c r="D35" s="98" t="s">
        <v>6</v>
      </c>
      <c r="E35" s="111">
        <f>'MUN_LEI 9478'!E35</f>
        <v>1344806.21</v>
      </c>
      <c r="F35" s="111">
        <f>'MUN_LEI 9478'!F35</f>
        <v>1417473.8699999999</v>
      </c>
      <c r="G35" s="111">
        <f>'MUN_LEI 9478'!G35</f>
        <v>1511020.72</v>
      </c>
      <c r="H35" s="111">
        <f>'MUN_LEI 9478'!H35</f>
        <v>1254267.07</v>
      </c>
      <c r="I35" s="111">
        <f>'MUN_LEI 9478'!I35</f>
        <v>1361815.6300000001</v>
      </c>
      <c r="J35" s="111">
        <f>'MUN_LEI 9478'!J35</f>
        <v>1458767.67</v>
      </c>
      <c r="K35" s="111">
        <f>'MUN_LEI 9478'!K35</f>
        <v>1691540.75</v>
      </c>
      <c r="L35" s="111">
        <f>'MUN_LEI 9478'!L35</f>
        <v>1680162.3599999999</v>
      </c>
      <c r="M35" s="111">
        <f>'MUN_LEI 9478'!M35</f>
        <v>1749318.27</v>
      </c>
      <c r="N35" s="111">
        <f>'MUN_LEI 9478'!N35</f>
        <v>1770837.0799999998</v>
      </c>
      <c r="O35" s="111">
        <f>'MUN_LEI 9478'!O35</f>
        <v>1927270.4600000002</v>
      </c>
      <c r="P35" s="111">
        <f>'MUN_LEI 9478'!P35</f>
        <v>1932837.2600000002</v>
      </c>
      <c r="Q35" s="112">
        <f t="shared" si="0"/>
        <v>19100117.350000001</v>
      </c>
    </row>
    <row r="36" spans="1:17" x14ac:dyDescent="0.15">
      <c r="A36" s="285"/>
      <c r="B36" s="286"/>
      <c r="C36" s="286"/>
      <c r="D36" s="98" t="s">
        <v>1</v>
      </c>
      <c r="E36" s="111">
        <f>'MUN_LEI 9478'!E36</f>
        <v>450211.6</v>
      </c>
      <c r="F36" s="111">
        <f>'MUN_LEI 9478'!F36</f>
        <v>447742.15</v>
      </c>
      <c r="G36" s="111">
        <f>'MUN_LEI 9478'!G36</f>
        <v>649965.43999999994</v>
      </c>
      <c r="H36" s="111">
        <f>'MUN_LEI 9478'!H36</f>
        <v>513637.6</v>
      </c>
      <c r="I36" s="111">
        <f>'MUN_LEI 9478'!I36</f>
        <v>530477.27</v>
      </c>
      <c r="J36" s="111">
        <f>'MUN_LEI 9478'!J36</f>
        <v>597319.35000000009</v>
      </c>
      <c r="K36" s="111">
        <f>'MUN_LEI 9478'!K36</f>
        <v>570273.43999999994</v>
      </c>
      <c r="L36" s="111">
        <f>'MUN_LEI 9478'!L36</f>
        <v>608024.30000000005</v>
      </c>
      <c r="M36" s="111">
        <f>'MUN_LEI 9478'!M36</f>
        <v>579561.76000000013</v>
      </c>
      <c r="N36" s="111">
        <f>'MUN_LEI 9478'!N36</f>
        <v>672661.7</v>
      </c>
      <c r="O36" s="111">
        <f>'MUN_LEI 9478'!O36</f>
        <v>746058.21</v>
      </c>
      <c r="P36" s="111">
        <f>'MUN_LEI 9478'!P36</f>
        <v>633831.43000000017</v>
      </c>
      <c r="Q36" s="112">
        <f t="shared" si="0"/>
        <v>6999764.25</v>
      </c>
    </row>
    <row r="37" spans="1:17" x14ac:dyDescent="0.15">
      <c r="A37" s="285"/>
      <c r="B37" s="307" t="s">
        <v>7</v>
      </c>
      <c r="C37" s="307"/>
      <c r="D37" s="307"/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11">
        <v>0</v>
      </c>
      <c r="N37" s="111">
        <v>0</v>
      </c>
      <c r="O37" s="111">
        <v>0</v>
      </c>
      <c r="P37" s="111">
        <v>0</v>
      </c>
      <c r="Q37" s="112">
        <f t="shared" si="0"/>
        <v>0</v>
      </c>
    </row>
    <row r="38" spans="1:17" x14ac:dyDescent="0.15">
      <c r="A38" s="285" t="s">
        <v>11</v>
      </c>
      <c r="B38" s="286" t="s">
        <v>3</v>
      </c>
      <c r="C38" s="306">
        <v>0.05</v>
      </c>
      <c r="D38" s="98" t="s">
        <v>0</v>
      </c>
      <c r="E38" s="111">
        <f>('MUN_LEI 9478'!E38*0.17)/0.3</f>
        <v>218510.14600000007</v>
      </c>
      <c r="F38" s="111">
        <f>('MUN_LEI 9478'!F38*0.17)/0.3</f>
        <v>214821.0156666667</v>
      </c>
      <c r="G38" s="111">
        <f>('MUN_LEI 9478'!G38*0.17)/0.3</f>
        <v>221983.59166666667</v>
      </c>
      <c r="H38" s="111">
        <f>('MUN_LEI 9478'!H38*0.17)/0.3</f>
        <v>192678.0566666667</v>
      </c>
      <c r="I38" s="111">
        <f>('MUN_LEI 9478'!I38*0.17)/0.3</f>
        <v>225880.58100000006</v>
      </c>
      <c r="J38" s="111">
        <f>('MUN_LEI 9478'!J38*0.17)/0.3</f>
        <v>265307.2983333334</v>
      </c>
      <c r="K38" s="111">
        <f>('MUN_LEI 9478'!K38*0.17)/0.3</f>
        <v>321774.80999999994</v>
      </c>
      <c r="L38" s="111">
        <f>('MUN_LEI 9478'!L38*0.17)/0.3</f>
        <v>313693.76933333336</v>
      </c>
      <c r="M38" s="111">
        <f>('MUN_LEI 9478'!M38*0.17)/0.3</f>
        <v>333158.89400000003</v>
      </c>
      <c r="N38" s="111">
        <f>('MUN_LEI 9478'!N38*0.17)/0.3</f>
        <v>341382.87066666665</v>
      </c>
      <c r="O38" s="111">
        <f>('MUN_LEI 9478'!O38*0.17)/0.3</f>
        <v>361279.89733333344</v>
      </c>
      <c r="P38" s="111">
        <f>('MUN_LEI 9478'!P38*0.17)/0.3</f>
        <v>359405.16566666664</v>
      </c>
      <c r="Q38" s="112">
        <f t="shared" si="0"/>
        <v>3369876.0963333333</v>
      </c>
    </row>
    <row r="39" spans="1:17" x14ac:dyDescent="0.15">
      <c r="A39" s="285"/>
      <c r="B39" s="286"/>
      <c r="C39" s="286"/>
      <c r="D39" s="98" t="s">
        <v>1</v>
      </c>
      <c r="E39" s="111">
        <f>('MUN_LEI 9478'!E39*0.03)/0.1</f>
        <v>1595019.507</v>
      </c>
      <c r="F39" s="111">
        <f>('MUN_LEI 9478'!F39*0.03)/0.1</f>
        <v>1762545.852</v>
      </c>
      <c r="G39" s="111">
        <f>('MUN_LEI 9478'!G39*0.03)/0.1</f>
        <v>2032804.0379999999</v>
      </c>
      <c r="H39" s="111">
        <f>('MUN_LEI 9478'!H39*0.03)/0.1</f>
        <v>1682098.2119999996</v>
      </c>
      <c r="I39" s="111">
        <f>('MUN_LEI 9478'!I39*0.03)/0.1</f>
        <v>1813020.3479999998</v>
      </c>
      <c r="J39" s="111">
        <f>('MUN_LEI 9478'!J39*0.03)/0.1</f>
        <v>2083903.4280000003</v>
      </c>
      <c r="K39" s="111">
        <f>('MUN_LEI 9478'!K39*0.03)/0.1</f>
        <v>2591749.4309999994</v>
      </c>
      <c r="L39" s="111">
        <f>('MUN_LEI 9478'!L39*0.03)/0.1</f>
        <v>2313672.2879999992</v>
      </c>
      <c r="M39" s="111">
        <f>('MUN_LEI 9478'!M39*0.03)/0.1</f>
        <v>2607081.0149999997</v>
      </c>
      <c r="N39" s="111">
        <f>('MUN_LEI 9478'!N39*0.03)/0.1</f>
        <v>2420345.3130000001</v>
      </c>
      <c r="O39" s="111">
        <f>('MUN_LEI 9478'!O39*0.03)/0.1</f>
        <v>2829642.0839999993</v>
      </c>
      <c r="P39" s="111">
        <f>('MUN_LEI 9478'!P39*0.03)/0.1</f>
        <v>3152925.6869999999</v>
      </c>
      <c r="Q39" s="112">
        <f t="shared" si="0"/>
        <v>26884807.202999994</v>
      </c>
    </row>
    <row r="40" spans="1:17" x14ac:dyDescent="0.15">
      <c r="A40" s="285"/>
      <c r="B40" s="286"/>
      <c r="C40" s="286" t="s">
        <v>2</v>
      </c>
      <c r="D40" s="98" t="s">
        <v>0</v>
      </c>
      <c r="E40" s="111">
        <f>('MUN_LEI 9478'!E40*0.17)/0.225</f>
        <v>218510.33111111115</v>
      </c>
      <c r="F40" s="111">
        <f>('MUN_LEI 9478'!F40*0.17)/0.225</f>
        <v>214821.20266666668</v>
      </c>
      <c r="G40" s="111">
        <f>('MUN_LEI 9478'!G40*0.17)/0.225</f>
        <v>221983.75600000002</v>
      </c>
      <c r="H40" s="111">
        <f>('MUN_LEI 9478'!H40*0.17)/0.225</f>
        <v>192678.24177777776</v>
      </c>
      <c r="I40" s="111">
        <f>('MUN_LEI 9478'!I40*0.17)/0.225</f>
        <v>225880.76044444443</v>
      </c>
      <c r="J40" s="111">
        <f>('MUN_LEI 9478'!J40*0.17)/0.225</f>
        <v>265307.46266666666</v>
      </c>
      <c r="K40" s="111">
        <f>('MUN_LEI 9478'!K40*0.17)/0.225</f>
        <v>321774.95733333338</v>
      </c>
      <c r="L40" s="111">
        <f>('MUN_LEI 9478'!L40*0.17)/0.225</f>
        <v>313693.95066666667</v>
      </c>
      <c r="M40" s="111">
        <f>('MUN_LEI 9478'!M40*0.17)/0.225</f>
        <v>333159.09422222222</v>
      </c>
      <c r="N40" s="111">
        <f>('MUN_LEI 9478'!N40*0.17)/0.225</f>
        <v>341383.04444444447</v>
      </c>
      <c r="O40" s="111">
        <f>('MUN_LEI 9478'!O40*0.17)/0.225</f>
        <v>361280.0937777778</v>
      </c>
      <c r="P40" s="111">
        <f>('MUN_LEI 9478'!P40*0.17)/0.225</f>
        <v>359405.33377777779</v>
      </c>
      <c r="Q40" s="112">
        <f t="shared" si="0"/>
        <v>3369878.2288888888</v>
      </c>
    </row>
    <row r="41" spans="1:17" x14ac:dyDescent="0.15">
      <c r="A41" s="285"/>
      <c r="B41" s="286"/>
      <c r="C41" s="286"/>
      <c r="D41" s="98" t="s">
        <v>1</v>
      </c>
      <c r="E41" s="111">
        <f>('MUN_LEI 9478'!E41*0.03)/0.075</f>
        <v>53990.332000000009</v>
      </c>
      <c r="F41" s="111">
        <f>('MUN_LEI 9478'!F41*0.03)/0.075</f>
        <v>59972.248</v>
      </c>
      <c r="G41" s="111">
        <f>('MUN_LEI 9478'!G41*0.03)/0.075</f>
        <v>47597.468000000001</v>
      </c>
      <c r="H41" s="111">
        <f>('MUN_LEI 9478'!H41*0.03)/0.075</f>
        <v>22822.679999999997</v>
      </c>
      <c r="I41" s="111">
        <f>('MUN_LEI 9478'!I41*0.03)/0.075</f>
        <v>33875.387999999999</v>
      </c>
      <c r="J41" s="111">
        <f>('MUN_LEI 9478'!J41*0.03)/0.075</f>
        <v>52269.384000000005</v>
      </c>
      <c r="K41" s="111">
        <f>('MUN_LEI 9478'!K41*0.03)/0.075</f>
        <v>55930.336000000018</v>
      </c>
      <c r="L41" s="111">
        <f>('MUN_LEI 9478'!L41*0.03)/0.075</f>
        <v>42706.295999999995</v>
      </c>
      <c r="M41" s="111">
        <f>('MUN_LEI 9478'!M41*0.03)/0.075</f>
        <v>34169.076000000001</v>
      </c>
      <c r="N41" s="111">
        <f>('MUN_LEI 9478'!N41*0.03)/0.075</f>
        <v>68673.52399999999</v>
      </c>
      <c r="O41" s="111">
        <f>('MUN_LEI 9478'!O41*0.03)/0.075</f>
        <v>35085.407999999996</v>
      </c>
      <c r="P41" s="111">
        <f>('MUN_LEI 9478'!P41*0.03)/0.075</f>
        <v>77400.2</v>
      </c>
      <c r="Q41" s="112">
        <f t="shared" si="0"/>
        <v>584492.34</v>
      </c>
    </row>
    <row r="42" spans="1:17" x14ac:dyDescent="0.15">
      <c r="A42" s="285"/>
      <c r="B42" s="286" t="s">
        <v>5</v>
      </c>
      <c r="C42" s="306">
        <v>0.05</v>
      </c>
      <c r="D42" s="98" t="s">
        <v>6</v>
      </c>
      <c r="E42" s="111">
        <f>'MUN_LEI 9478'!E42</f>
        <v>56503.69</v>
      </c>
      <c r="F42" s="111">
        <f>'MUN_LEI 9478'!F42</f>
        <v>60028.349999999991</v>
      </c>
      <c r="G42" s="111">
        <f>'MUN_LEI 9478'!G42</f>
        <v>55309.17</v>
      </c>
      <c r="H42" s="111">
        <f>'MUN_LEI 9478'!H42</f>
        <v>47876.36</v>
      </c>
      <c r="I42" s="111">
        <f>'MUN_LEI 9478'!I42</f>
        <v>53885.3</v>
      </c>
      <c r="J42" s="111">
        <f>'MUN_LEI 9478'!J42</f>
        <v>59939.08</v>
      </c>
      <c r="K42" s="111">
        <f>'MUN_LEI 9478'!K42</f>
        <v>59794.46</v>
      </c>
      <c r="L42" s="111">
        <f>'MUN_LEI 9478'!L42</f>
        <v>86021.21</v>
      </c>
      <c r="M42" s="111">
        <f>'MUN_LEI 9478'!M42</f>
        <v>79209.41</v>
      </c>
      <c r="N42" s="111">
        <f>'MUN_LEI 9478'!N42</f>
        <v>77776.399999999994</v>
      </c>
      <c r="O42" s="111">
        <f>'MUN_LEI 9478'!O42</f>
        <v>86355.81</v>
      </c>
      <c r="P42" s="111">
        <f>'MUN_LEI 9478'!P42</f>
        <v>83029.259999999995</v>
      </c>
      <c r="Q42" s="112">
        <f t="shared" si="0"/>
        <v>805728.5</v>
      </c>
    </row>
    <row r="43" spans="1:17" x14ac:dyDescent="0.15">
      <c r="A43" s="285"/>
      <c r="B43" s="286"/>
      <c r="C43" s="286"/>
      <c r="D43" s="98" t="s">
        <v>1</v>
      </c>
      <c r="E43" s="111">
        <f>'MUN_LEI 9478'!E43</f>
        <v>276918.09000000003</v>
      </c>
      <c r="F43" s="111">
        <f>'MUN_LEI 9478'!F43</f>
        <v>270440.61</v>
      </c>
      <c r="G43" s="111">
        <f>'MUN_LEI 9478'!G43</f>
        <v>314426.67000000004</v>
      </c>
      <c r="H43" s="111">
        <f>'MUN_LEI 9478'!H43</f>
        <v>220940.78999999998</v>
      </c>
      <c r="I43" s="111">
        <f>'MUN_LEI 9478'!I43</f>
        <v>211415.44999999998</v>
      </c>
      <c r="J43" s="111">
        <f>'MUN_LEI 9478'!J43</f>
        <v>227122.22999999998</v>
      </c>
      <c r="K43" s="111">
        <f>'MUN_LEI 9478'!K43</f>
        <v>315170.71000000002</v>
      </c>
      <c r="L43" s="111">
        <f>'MUN_LEI 9478'!L43</f>
        <v>326323.31</v>
      </c>
      <c r="M43" s="111">
        <f>'MUN_LEI 9478'!M43</f>
        <v>337601.41</v>
      </c>
      <c r="N43" s="111">
        <f>'MUN_LEI 9478'!N43</f>
        <v>337807.17</v>
      </c>
      <c r="O43" s="111">
        <f>'MUN_LEI 9478'!O43</f>
        <v>395267.75999999995</v>
      </c>
      <c r="P43" s="111">
        <f>'MUN_LEI 9478'!P43</f>
        <v>444327.27</v>
      </c>
      <c r="Q43" s="112">
        <f t="shared" si="0"/>
        <v>3677761.4699999997</v>
      </c>
    </row>
    <row r="44" spans="1:17" x14ac:dyDescent="0.15">
      <c r="A44" s="285"/>
      <c r="B44" s="286"/>
      <c r="C44" s="286" t="s">
        <v>2</v>
      </c>
      <c r="D44" s="98" t="s">
        <v>6</v>
      </c>
      <c r="E44" s="111">
        <f>'MUN_LEI 9478'!E44</f>
        <v>23758.78</v>
      </c>
      <c r="F44" s="111">
        <f>'MUN_LEI 9478'!F44</f>
        <v>25254.13</v>
      </c>
      <c r="G44" s="111">
        <f>'MUN_LEI 9478'!G44</f>
        <v>23270.480000000003</v>
      </c>
      <c r="H44" s="111">
        <f>'MUN_LEI 9478'!H44</f>
        <v>20142.84</v>
      </c>
      <c r="I44" s="111">
        <f>'MUN_LEI 9478'!I44</f>
        <v>22657.73</v>
      </c>
      <c r="J44" s="111">
        <f>'MUN_LEI 9478'!J44</f>
        <v>25209.14</v>
      </c>
      <c r="K44" s="111">
        <f>'MUN_LEI 9478'!K44</f>
        <v>25151.25</v>
      </c>
      <c r="L44" s="111">
        <f>'MUN_LEI 9478'!L44</f>
        <v>36202.79</v>
      </c>
      <c r="M44" s="111">
        <f>'MUN_LEI 9478'!M44</f>
        <v>33341.25</v>
      </c>
      <c r="N44" s="111">
        <f>'MUN_LEI 9478'!N44</f>
        <v>32728.499999999996</v>
      </c>
      <c r="O44" s="111">
        <f>'MUN_LEI 9478'!O44</f>
        <v>36351.269999999997</v>
      </c>
      <c r="P44" s="111">
        <f>'MUN_LEI 9478'!P44</f>
        <v>34933.65</v>
      </c>
      <c r="Q44" s="112">
        <f t="shared" si="0"/>
        <v>339001.81000000006</v>
      </c>
    </row>
    <row r="45" spans="1:17" x14ac:dyDescent="0.15">
      <c r="A45" s="285"/>
      <c r="B45" s="286"/>
      <c r="C45" s="286"/>
      <c r="D45" s="98" t="s">
        <v>1</v>
      </c>
      <c r="E45" s="111">
        <f>'MUN_LEI 9478'!E45</f>
        <v>16226.949999999999</v>
      </c>
      <c r="F45" s="111">
        <f>'MUN_LEI 9478'!F45</f>
        <v>16739.580000000002</v>
      </c>
      <c r="G45" s="111">
        <f>'MUN_LEI 9478'!G45</f>
        <v>17675.47</v>
      </c>
      <c r="H45" s="111">
        <f>'MUN_LEI 9478'!H45</f>
        <v>15273.34</v>
      </c>
      <c r="I45" s="111">
        <f>'MUN_LEI 9478'!I45</f>
        <v>16008.549999999996</v>
      </c>
      <c r="J45" s="111">
        <f>'MUN_LEI 9478'!J45</f>
        <v>18532</v>
      </c>
      <c r="K45" s="111">
        <f>'MUN_LEI 9478'!K45</f>
        <v>17668.560000000001</v>
      </c>
      <c r="L45" s="111">
        <f>'MUN_LEI 9478'!L45</f>
        <v>25700.75</v>
      </c>
      <c r="M45" s="111">
        <f>'MUN_LEI 9478'!M45</f>
        <v>22790.76</v>
      </c>
      <c r="N45" s="111">
        <f>'MUN_LEI 9478'!N45</f>
        <v>22016.31</v>
      </c>
      <c r="O45" s="111">
        <f>'MUN_LEI 9478'!O45</f>
        <v>26276.93</v>
      </c>
      <c r="P45" s="111">
        <f>'MUN_LEI 9478'!P45</f>
        <v>21379.039999999997</v>
      </c>
      <c r="Q45" s="112">
        <f t="shared" si="0"/>
        <v>236288.24</v>
      </c>
    </row>
    <row r="46" spans="1:17" x14ac:dyDescent="0.15">
      <c r="A46" s="285"/>
      <c r="B46" s="307" t="s">
        <v>7</v>
      </c>
      <c r="C46" s="307"/>
      <c r="D46" s="307"/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2">
        <f t="shared" si="0"/>
        <v>0</v>
      </c>
    </row>
    <row r="47" spans="1:17" x14ac:dyDescent="0.15">
      <c r="A47" s="285" t="s">
        <v>12</v>
      </c>
      <c r="B47" s="286" t="s">
        <v>3</v>
      </c>
      <c r="C47" s="306">
        <v>0.05</v>
      </c>
      <c r="D47" s="98" t="s">
        <v>0</v>
      </c>
      <c r="E47" s="111">
        <f>('MUN_LEI 9478'!E47*0.17)/0.3</f>
        <v>17320076.884000003</v>
      </c>
      <c r="F47" s="111">
        <f>('MUN_LEI 9478'!F47*0.17)/0.3</f>
        <v>19426663.543666672</v>
      </c>
      <c r="G47" s="111">
        <f>('MUN_LEI 9478'!G47*0.17)/0.3</f>
        <v>19017673.344666667</v>
      </c>
      <c r="H47" s="111">
        <f>('MUN_LEI 9478'!H47*0.17)/0.3</f>
        <v>15838741.883000005</v>
      </c>
      <c r="I47" s="111">
        <f>('MUN_LEI 9478'!I47*0.17)/0.3</f>
        <v>17814368.969000004</v>
      </c>
      <c r="J47" s="111">
        <f>('MUN_LEI 9478'!J47*0.17)/0.3</f>
        <v>20358146.515666667</v>
      </c>
      <c r="K47" s="111">
        <f>('MUN_LEI 9478'!K47*0.17)/0.3</f>
        <v>23736539.617666669</v>
      </c>
      <c r="L47" s="111">
        <f>('MUN_LEI 9478'!L47*0.17)/0.3</f>
        <v>21805808.352999993</v>
      </c>
      <c r="M47" s="111">
        <f>('MUN_LEI 9478'!M47*0.17)/0.3</f>
        <v>22283866.435333338</v>
      </c>
      <c r="N47" s="111">
        <f>('MUN_LEI 9478'!N47*0.17)/0.3</f>
        <v>24621341.264000006</v>
      </c>
      <c r="O47" s="111">
        <f>('MUN_LEI 9478'!O47*0.17)/0.3</f>
        <v>22668072.187000003</v>
      </c>
      <c r="P47" s="111">
        <f>('MUN_LEI 9478'!P47*0.17)/0.3</f>
        <v>26526921.544333335</v>
      </c>
      <c r="Q47" s="112">
        <f t="shared" si="0"/>
        <v>251418220.54133335</v>
      </c>
    </row>
    <row r="48" spans="1:17" x14ac:dyDescent="0.15">
      <c r="A48" s="285"/>
      <c r="B48" s="286"/>
      <c r="C48" s="286"/>
      <c r="D48" s="98" t="s">
        <v>1</v>
      </c>
      <c r="E48" s="111">
        <f>('MUN_LEI 9478'!E48*0.03)/0.1</f>
        <v>822770.23499999987</v>
      </c>
      <c r="F48" s="111">
        <f>('MUN_LEI 9478'!F48*0.03)/0.1</f>
        <v>950359.3110000001</v>
      </c>
      <c r="G48" s="111">
        <f>('MUN_LEI 9478'!G48*0.03)/0.1</f>
        <v>920515.02299999993</v>
      </c>
      <c r="H48" s="111">
        <f>('MUN_LEI 9478'!H48*0.03)/0.1</f>
        <v>778627.47599999979</v>
      </c>
      <c r="I48" s="111">
        <f>('MUN_LEI 9478'!I48*0.03)/0.1</f>
        <v>858799.08899999992</v>
      </c>
      <c r="J48" s="111">
        <f>('MUN_LEI 9478'!J48*0.03)/0.1</f>
        <v>835319.91599999985</v>
      </c>
      <c r="K48" s="111">
        <f>('MUN_LEI 9478'!K48*0.03)/0.1</f>
        <v>1110749.7419999996</v>
      </c>
      <c r="L48" s="111">
        <f>('MUN_LEI 9478'!L48*0.03)/0.1</f>
        <v>1074204.9719999998</v>
      </c>
      <c r="M48" s="111">
        <f>('MUN_LEI 9478'!M48*0.03)/0.1</f>
        <v>1082098.395</v>
      </c>
      <c r="N48" s="111">
        <f>('MUN_LEI 9478'!N48*0.03)/0.1</f>
        <v>944524.9709999999</v>
      </c>
      <c r="O48" s="111">
        <f>('MUN_LEI 9478'!O48*0.03)/0.1</f>
        <v>1292945.0579999997</v>
      </c>
      <c r="P48" s="111">
        <f>('MUN_LEI 9478'!P48*0.03)/0.1</f>
        <v>1297613.8799999999</v>
      </c>
      <c r="Q48" s="112">
        <f t="shared" si="0"/>
        <v>11968528.068</v>
      </c>
    </row>
    <row r="49" spans="1:17" x14ac:dyDescent="0.15">
      <c r="A49" s="285"/>
      <c r="B49" s="286"/>
      <c r="C49" s="286" t="s">
        <v>2</v>
      </c>
      <c r="D49" s="98" t="s">
        <v>0</v>
      </c>
      <c r="E49" s="111">
        <f>('MUN_LEI 9478'!E49*0.17)/0.225</f>
        <v>18833724.160888892</v>
      </c>
      <c r="F49" s="111">
        <f>('MUN_LEI 9478'!F49*0.17)/0.225</f>
        <v>21036059.593777776</v>
      </c>
      <c r="G49" s="111">
        <f>('MUN_LEI 9478'!G49*0.17)/0.225</f>
        <v>20583783.169333335</v>
      </c>
      <c r="H49" s="111">
        <f>('MUN_LEI 9478'!H49*0.17)/0.225</f>
        <v>17175328.056888886</v>
      </c>
      <c r="I49" s="111">
        <f>('MUN_LEI 9478'!I49*0.17)/0.225</f>
        <v>19337152.875111111</v>
      </c>
      <c r="J49" s="111">
        <f>('MUN_LEI 9478'!J49*0.17)/0.225</f>
        <v>21983612.469333332</v>
      </c>
      <c r="K49" s="111">
        <f>('MUN_LEI 9478'!K49*0.17)/0.225</f>
        <v>25586181.258222215</v>
      </c>
      <c r="L49" s="111">
        <f>('MUN_LEI 9478'!L49*0.17)/0.225</f>
        <v>23608690.643555555</v>
      </c>
      <c r="M49" s="111">
        <f>('MUN_LEI 9478'!M49*0.17)/0.225</f>
        <v>23875539.515111111</v>
      </c>
      <c r="N49" s="111">
        <f>('MUN_LEI 9478'!N49*0.17)/0.225</f>
        <v>26326914.166222226</v>
      </c>
      <c r="O49" s="111">
        <f>('MUN_LEI 9478'!O49*0.17)/0.225</f>
        <v>24323331.248888891</v>
      </c>
      <c r="P49" s="111">
        <f>('MUN_LEI 9478'!P49*0.17)/0.225</f>
        <v>28483004.514222223</v>
      </c>
      <c r="Q49" s="112">
        <f t="shared" si="0"/>
        <v>271153321.67155552</v>
      </c>
    </row>
    <row r="50" spans="1:17" x14ac:dyDescent="0.15">
      <c r="A50" s="285"/>
      <c r="B50" s="286"/>
      <c r="C50" s="286"/>
      <c r="D50" s="98" t="s">
        <v>1</v>
      </c>
      <c r="E50" s="111">
        <f>('MUN_LEI 9478'!E50*0.03)/0.075</f>
        <v>559675.32400000002</v>
      </c>
      <c r="F50" s="111">
        <f>('MUN_LEI 9478'!F50*0.03)/0.075</f>
        <v>618688.35599999991</v>
      </c>
      <c r="G50" s="111">
        <f>('MUN_LEI 9478'!G50*0.03)/0.075</f>
        <v>661124.82000000007</v>
      </c>
      <c r="H50" s="111">
        <f>('MUN_LEI 9478'!H50*0.03)/0.075</f>
        <v>516790.98800000001</v>
      </c>
      <c r="I50" s="111">
        <f>('MUN_LEI 9478'!I50*0.03)/0.075</f>
        <v>540065.54799999995</v>
      </c>
      <c r="J50" s="111">
        <f>('MUN_LEI 9478'!J50*0.03)/0.075</f>
        <v>623932.32000000007</v>
      </c>
      <c r="K50" s="111">
        <f>('MUN_LEI 9478'!K50*0.03)/0.075</f>
        <v>863813.91999999993</v>
      </c>
      <c r="L50" s="111">
        <f>('MUN_LEI 9478'!L50*0.03)/0.075</f>
        <v>849402.47599999991</v>
      </c>
      <c r="M50" s="111">
        <f>('MUN_LEI 9478'!M50*0.03)/0.075</f>
        <v>878286.54400000023</v>
      </c>
      <c r="N50" s="111">
        <f>('MUN_LEI 9478'!N50*0.03)/0.075</f>
        <v>962298.75199999975</v>
      </c>
      <c r="O50" s="111">
        <f>('MUN_LEI 9478'!O50*0.03)/0.075</f>
        <v>924731.38000000024</v>
      </c>
      <c r="P50" s="111">
        <f>('MUN_LEI 9478'!P50*0.03)/0.075</f>
        <v>971982.74800000002</v>
      </c>
      <c r="Q50" s="112">
        <f t="shared" si="0"/>
        <v>8970793.175999999</v>
      </c>
    </row>
    <row r="51" spans="1:17" x14ac:dyDescent="0.15">
      <c r="A51" s="285"/>
      <c r="B51" s="286" t="s">
        <v>5</v>
      </c>
      <c r="C51" s="306">
        <v>0.05</v>
      </c>
      <c r="D51" s="98" t="s">
        <v>6</v>
      </c>
      <c r="E51" s="111">
        <f>'MUN_LEI 9478'!E51</f>
        <v>573244.52</v>
      </c>
      <c r="F51" s="111">
        <f>'MUN_LEI 9478'!F51</f>
        <v>593411.87</v>
      </c>
      <c r="G51" s="111">
        <f>'MUN_LEI 9478'!G51</f>
        <v>629440.57000000007</v>
      </c>
      <c r="H51" s="111">
        <f>'MUN_LEI 9478'!H51</f>
        <v>537235.62000000011</v>
      </c>
      <c r="I51" s="111">
        <f>'MUN_LEI 9478'!I51</f>
        <v>575115.68000000005</v>
      </c>
      <c r="J51" s="111">
        <f>'MUN_LEI 9478'!J51</f>
        <v>639767.43999999994</v>
      </c>
      <c r="K51" s="111">
        <f>'MUN_LEI 9478'!K51</f>
        <v>746468.66999999993</v>
      </c>
      <c r="L51" s="111">
        <f>'MUN_LEI 9478'!L51</f>
        <v>704635.80999999994</v>
      </c>
      <c r="M51" s="111">
        <f>'MUN_LEI 9478'!M51</f>
        <v>738230.05</v>
      </c>
      <c r="N51" s="111">
        <f>'MUN_LEI 9478'!N51</f>
        <v>692226.27</v>
      </c>
      <c r="O51" s="111">
        <f>'MUN_LEI 9478'!O51</f>
        <v>752123.23</v>
      </c>
      <c r="P51" s="111">
        <f>'MUN_LEI 9478'!P51</f>
        <v>743923.84000000008</v>
      </c>
      <c r="Q51" s="112">
        <f t="shared" si="0"/>
        <v>7925823.5700000003</v>
      </c>
    </row>
    <row r="52" spans="1:17" x14ac:dyDescent="0.15">
      <c r="A52" s="285"/>
      <c r="B52" s="286"/>
      <c r="C52" s="286"/>
      <c r="D52" s="98" t="s">
        <v>1</v>
      </c>
      <c r="E52" s="111">
        <f>'MUN_LEI 9478'!E52</f>
        <v>288957.99000000005</v>
      </c>
      <c r="F52" s="111">
        <f>'MUN_LEI 9478'!F52</f>
        <v>262801.03000000003</v>
      </c>
      <c r="G52" s="111">
        <f>'MUN_LEI 9478'!G52</f>
        <v>276314.34000000003</v>
      </c>
      <c r="H52" s="111">
        <f>'MUN_LEI 9478'!H52</f>
        <v>193005.74</v>
      </c>
      <c r="I52" s="111">
        <f>'MUN_LEI 9478'!I52</f>
        <v>230388.63</v>
      </c>
      <c r="J52" s="111">
        <f>'MUN_LEI 9478'!J52</f>
        <v>245171.66999999995</v>
      </c>
      <c r="K52" s="111">
        <f>'MUN_LEI 9478'!K52</f>
        <v>275568.09999999998</v>
      </c>
      <c r="L52" s="111">
        <f>'MUN_LEI 9478'!L52</f>
        <v>337744.61999999994</v>
      </c>
      <c r="M52" s="111">
        <f>'MUN_LEI 9478'!M52</f>
        <v>349417.45999999996</v>
      </c>
      <c r="N52" s="111">
        <f>'MUN_LEI 9478'!N52</f>
        <v>353478.6399999999</v>
      </c>
      <c r="O52" s="111">
        <f>'MUN_LEI 9478'!O52</f>
        <v>425968.17000000004</v>
      </c>
      <c r="P52" s="111">
        <f>'MUN_LEI 9478'!P52</f>
        <v>395559.63</v>
      </c>
      <c r="Q52" s="112">
        <f t="shared" si="0"/>
        <v>3634376.0199999996</v>
      </c>
    </row>
    <row r="53" spans="1:17" x14ac:dyDescent="0.15">
      <c r="A53" s="285"/>
      <c r="B53" s="286"/>
      <c r="C53" s="286" t="s">
        <v>2</v>
      </c>
      <c r="D53" s="98" t="s">
        <v>6</v>
      </c>
      <c r="E53" s="111">
        <f>'MUN_LEI 9478'!E53</f>
        <v>346671.45999999996</v>
      </c>
      <c r="F53" s="111">
        <f>'MUN_LEI 9478'!F53</f>
        <v>352635.99</v>
      </c>
      <c r="G53" s="111">
        <f>'MUN_LEI 9478'!G53</f>
        <v>371868.08999999997</v>
      </c>
      <c r="H53" s="111">
        <f>'MUN_LEI 9478'!H53</f>
        <v>317692.07</v>
      </c>
      <c r="I53" s="111">
        <f>'MUN_LEI 9478'!I53</f>
        <v>334927.40000000002</v>
      </c>
      <c r="J53" s="111">
        <f>'MUN_LEI 9478'!J53</f>
        <v>372839.36000000004</v>
      </c>
      <c r="K53" s="111">
        <f>'MUN_LEI 9478'!K53</f>
        <v>431244.76</v>
      </c>
      <c r="L53" s="111">
        <f>'MUN_LEI 9478'!L53</f>
        <v>403772.95000000007</v>
      </c>
      <c r="M53" s="111">
        <f>'MUN_LEI 9478'!M53</f>
        <v>422089.7</v>
      </c>
      <c r="N53" s="111">
        <f>'MUN_LEI 9478'!N53</f>
        <v>396048.25</v>
      </c>
      <c r="O53" s="111">
        <f>'MUN_LEI 9478'!O53</f>
        <v>437636.07</v>
      </c>
      <c r="P53" s="111">
        <f>'MUN_LEI 9478'!P53</f>
        <v>429261.05000000005</v>
      </c>
      <c r="Q53" s="112">
        <f t="shared" si="0"/>
        <v>4616687.1500000004</v>
      </c>
    </row>
    <row r="54" spans="1:17" x14ac:dyDescent="0.15">
      <c r="A54" s="285"/>
      <c r="B54" s="286"/>
      <c r="C54" s="286"/>
      <c r="D54" s="98" t="s">
        <v>1</v>
      </c>
      <c r="E54" s="111">
        <f>'MUN_LEI 9478'!E54</f>
        <v>160277.56</v>
      </c>
      <c r="F54" s="111">
        <f>'MUN_LEI 9478'!F54</f>
        <v>158372.01999999999</v>
      </c>
      <c r="G54" s="111">
        <f>'MUN_LEI 9478'!G54</f>
        <v>185354.59999999998</v>
      </c>
      <c r="H54" s="111">
        <f>'MUN_LEI 9478'!H54</f>
        <v>190121.27000000002</v>
      </c>
      <c r="I54" s="111">
        <f>'MUN_LEI 9478'!I54</f>
        <v>196946.37</v>
      </c>
      <c r="J54" s="111">
        <f>'MUN_LEI 9478'!J54</f>
        <v>187019.3</v>
      </c>
      <c r="K54" s="111">
        <f>'MUN_LEI 9478'!K54</f>
        <v>226520.74</v>
      </c>
      <c r="L54" s="111">
        <f>'MUN_LEI 9478'!L54</f>
        <v>184657.04</v>
      </c>
      <c r="M54" s="111">
        <f>'MUN_LEI 9478'!M54</f>
        <v>182922.39</v>
      </c>
      <c r="N54" s="111">
        <f>'MUN_LEI 9478'!N54</f>
        <v>217907.02999999997</v>
      </c>
      <c r="O54" s="111">
        <f>'MUN_LEI 9478'!O54</f>
        <v>138980.73000000001</v>
      </c>
      <c r="P54" s="111">
        <f>'MUN_LEI 9478'!P54</f>
        <v>140034.96</v>
      </c>
      <c r="Q54" s="112">
        <f t="shared" si="0"/>
        <v>2169114.0100000002</v>
      </c>
    </row>
    <row r="55" spans="1:17" x14ac:dyDescent="0.15">
      <c r="A55" s="285"/>
      <c r="B55" s="307" t="s">
        <v>7</v>
      </c>
      <c r="C55" s="307"/>
      <c r="D55" s="307"/>
      <c r="E55" s="111">
        <v>0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11">
        <v>0</v>
      </c>
      <c r="L55" s="111">
        <v>0</v>
      </c>
      <c r="M55" s="111">
        <v>0</v>
      </c>
      <c r="N55" s="111">
        <v>0</v>
      </c>
      <c r="O55" s="111">
        <v>0</v>
      </c>
      <c r="P55" s="111">
        <v>0</v>
      </c>
      <c r="Q55" s="112">
        <f t="shared" si="0"/>
        <v>0</v>
      </c>
    </row>
    <row r="56" spans="1:17" x14ac:dyDescent="0.15">
      <c r="A56" s="285" t="s">
        <v>13</v>
      </c>
      <c r="B56" s="286" t="s">
        <v>3</v>
      </c>
      <c r="C56" s="306">
        <v>0.05</v>
      </c>
      <c r="D56" s="98" t="s">
        <v>0</v>
      </c>
      <c r="E56" s="111">
        <f>('MUN_LEI 9478'!E56*0.17)/0.3</f>
        <v>0</v>
      </c>
      <c r="F56" s="111">
        <f>('MUN_LEI 9478'!F56*0.17)/0.3</f>
        <v>0</v>
      </c>
      <c r="G56" s="111">
        <f>('MUN_LEI 9478'!G56*0.17)/0.3</f>
        <v>0</v>
      </c>
      <c r="H56" s="111">
        <f>('MUN_LEI 9478'!H56*0.17)/0.3</f>
        <v>0</v>
      </c>
      <c r="I56" s="111">
        <f>('MUN_LEI 9478'!I56*0.17)/0.3</f>
        <v>0</v>
      </c>
      <c r="J56" s="111">
        <f>('MUN_LEI 9478'!J56*0.17)/0.3</f>
        <v>0</v>
      </c>
      <c r="K56" s="111">
        <f>('MUN_LEI 9478'!K56*0.17)/0.3</f>
        <v>0</v>
      </c>
      <c r="L56" s="111">
        <f>('MUN_LEI 9478'!L56*0.17)/0.3</f>
        <v>0</v>
      </c>
      <c r="M56" s="111">
        <f>('MUN_LEI 9478'!M56*0.17)/0.3</f>
        <v>0</v>
      </c>
      <c r="N56" s="111">
        <f>('MUN_LEI 9478'!N56*0.17)/0.3</f>
        <v>0</v>
      </c>
      <c r="O56" s="111">
        <f>('MUN_LEI 9478'!O56*0.17)/0.3</f>
        <v>0</v>
      </c>
      <c r="P56" s="111">
        <f>('MUN_LEI 9478'!P56*0.17)/0.3</f>
        <v>0</v>
      </c>
      <c r="Q56" s="112">
        <f t="shared" si="0"/>
        <v>0</v>
      </c>
    </row>
    <row r="57" spans="1:17" x14ac:dyDescent="0.15">
      <c r="A57" s="285"/>
      <c r="B57" s="286"/>
      <c r="C57" s="286"/>
      <c r="D57" s="98" t="s">
        <v>1</v>
      </c>
      <c r="E57" s="111">
        <f>('MUN_LEI 9478'!E57*0.03)/0.1</f>
        <v>1010419.6049999999</v>
      </c>
      <c r="F57" s="111">
        <f>('MUN_LEI 9478'!F57*0.03)/0.1</f>
        <v>1078421.9550000001</v>
      </c>
      <c r="G57" s="111">
        <f>('MUN_LEI 9478'!G57*0.03)/0.1</f>
        <v>1150643.8049999999</v>
      </c>
      <c r="H57" s="111">
        <f>('MUN_LEI 9478'!H57*0.03)/0.1</f>
        <v>969177.68999999983</v>
      </c>
      <c r="I57" s="111">
        <f>('MUN_LEI 9478'!I57*0.03)/0.1</f>
        <v>1064323.6949999998</v>
      </c>
      <c r="J57" s="111">
        <f>('MUN_LEI 9478'!J57*0.03)/0.1</f>
        <v>1128414.6599999999</v>
      </c>
      <c r="K57" s="111">
        <f>('MUN_LEI 9478'!K57*0.03)/0.1</f>
        <v>1357583.04</v>
      </c>
      <c r="L57" s="111">
        <f>('MUN_LEI 9478'!L57*0.03)/0.1</f>
        <v>1331279.7</v>
      </c>
      <c r="M57" s="111">
        <f>('MUN_LEI 9478'!M57*0.03)/0.1</f>
        <v>1346915.7749999997</v>
      </c>
      <c r="N57" s="111">
        <f>('MUN_LEI 9478'!N57*0.03)/0.1</f>
        <v>1279044.2849999999</v>
      </c>
      <c r="O57" s="111">
        <f>('MUN_LEI 9478'!O57*0.03)/0.1</f>
        <v>1351233.5849999997</v>
      </c>
      <c r="P57" s="111">
        <f>('MUN_LEI 9478'!P57*0.03)/0.1</f>
        <v>1380440.325</v>
      </c>
      <c r="Q57" s="112">
        <f t="shared" si="0"/>
        <v>14447898.119999999</v>
      </c>
    </row>
    <row r="58" spans="1:17" x14ac:dyDescent="0.15">
      <c r="A58" s="285"/>
      <c r="B58" s="286"/>
      <c r="C58" s="286" t="s">
        <v>2</v>
      </c>
      <c r="D58" s="98" t="s">
        <v>0</v>
      </c>
      <c r="E58" s="111">
        <f>('MUN_LEI 9478'!E58*0.17)/0.225</f>
        <v>0</v>
      </c>
      <c r="F58" s="111">
        <f>('MUN_LEI 9478'!F58*0.17)/0.225</f>
        <v>0</v>
      </c>
      <c r="G58" s="111">
        <f>('MUN_LEI 9478'!G58*0.17)/0.225</f>
        <v>0</v>
      </c>
      <c r="H58" s="111">
        <f>('MUN_LEI 9478'!H58*0.17)/0.225</f>
        <v>0</v>
      </c>
      <c r="I58" s="111">
        <f>('MUN_LEI 9478'!I58*0.17)/0.225</f>
        <v>0</v>
      </c>
      <c r="J58" s="111">
        <f>('MUN_LEI 9478'!J58*0.17)/0.225</f>
        <v>0</v>
      </c>
      <c r="K58" s="111">
        <f>('MUN_LEI 9478'!K58*0.17)/0.225</f>
        <v>0</v>
      </c>
      <c r="L58" s="111">
        <f>('MUN_LEI 9478'!L58*0.17)/0.225</f>
        <v>0</v>
      </c>
      <c r="M58" s="111">
        <f>('MUN_LEI 9478'!M58*0.17)/0.225</f>
        <v>0</v>
      </c>
      <c r="N58" s="111">
        <f>('MUN_LEI 9478'!N58*0.17)/0.225</f>
        <v>0</v>
      </c>
      <c r="O58" s="111">
        <f>('MUN_LEI 9478'!O58*0.17)/0.225</f>
        <v>0</v>
      </c>
      <c r="P58" s="111">
        <f>('MUN_LEI 9478'!P58*0.17)/0.225</f>
        <v>0</v>
      </c>
      <c r="Q58" s="112">
        <f t="shared" si="0"/>
        <v>0</v>
      </c>
    </row>
    <row r="59" spans="1:17" x14ac:dyDescent="0.15">
      <c r="A59" s="285"/>
      <c r="B59" s="286"/>
      <c r="C59" s="286"/>
      <c r="D59" s="98" t="s">
        <v>1</v>
      </c>
      <c r="E59" s="111">
        <f>('MUN_LEI 9478'!E59*0.03)/0.075</f>
        <v>0</v>
      </c>
      <c r="F59" s="111">
        <f>('MUN_LEI 9478'!F59*0.03)/0.075</f>
        <v>0</v>
      </c>
      <c r="G59" s="111">
        <f>('MUN_LEI 9478'!G59*0.03)/0.075</f>
        <v>0</v>
      </c>
      <c r="H59" s="111">
        <f>('MUN_LEI 9478'!H59*0.03)/0.075</f>
        <v>0</v>
      </c>
      <c r="I59" s="111">
        <f>('MUN_LEI 9478'!I59*0.03)/0.075</f>
        <v>0</v>
      </c>
      <c r="J59" s="111">
        <f>('MUN_LEI 9478'!J59*0.03)/0.075</f>
        <v>0</v>
      </c>
      <c r="K59" s="111">
        <f>('MUN_LEI 9478'!K59*0.03)/0.075</f>
        <v>0</v>
      </c>
      <c r="L59" s="111">
        <f>('MUN_LEI 9478'!L59*0.03)/0.075</f>
        <v>0</v>
      </c>
      <c r="M59" s="111">
        <f>('MUN_LEI 9478'!M59*0.03)/0.075</f>
        <v>0</v>
      </c>
      <c r="N59" s="111">
        <f>('MUN_LEI 9478'!N59*0.03)/0.075</f>
        <v>0</v>
      </c>
      <c r="O59" s="111">
        <f>('MUN_LEI 9478'!O59*0.03)/0.075</f>
        <v>0</v>
      </c>
      <c r="P59" s="111">
        <f>('MUN_LEI 9478'!P59*0.03)/0.075</f>
        <v>0</v>
      </c>
      <c r="Q59" s="112">
        <f t="shared" si="0"/>
        <v>0</v>
      </c>
    </row>
    <row r="60" spans="1:17" x14ac:dyDescent="0.15">
      <c r="A60" s="285"/>
      <c r="B60" s="286" t="s">
        <v>5</v>
      </c>
      <c r="C60" s="306">
        <v>0.05</v>
      </c>
      <c r="D60" s="98" t="s">
        <v>6</v>
      </c>
      <c r="E60" s="111">
        <f>'MUN_LEI 9478'!E60</f>
        <v>898068.34000000008</v>
      </c>
      <c r="F60" s="111">
        <f>'MUN_LEI 9478'!F60</f>
        <v>896623.28</v>
      </c>
      <c r="G60" s="111">
        <f>'MUN_LEI 9478'!G60</f>
        <v>916182.47000000009</v>
      </c>
      <c r="H60" s="111">
        <f>'MUN_LEI 9478'!H60</f>
        <v>16983.61</v>
      </c>
      <c r="I60" s="111">
        <f>'MUN_LEI 9478'!I60</f>
        <v>745.74</v>
      </c>
      <c r="J60" s="111">
        <f>'MUN_LEI 9478'!J60</f>
        <v>61713.56</v>
      </c>
      <c r="K60" s="111">
        <f>'MUN_LEI 9478'!K60</f>
        <v>10107.800000000001</v>
      </c>
      <c r="L60" s="111">
        <f>'MUN_LEI 9478'!L60</f>
        <v>819370.91999999993</v>
      </c>
      <c r="M60" s="111">
        <f>'MUN_LEI 9478'!M60</f>
        <v>1095698.6000000001</v>
      </c>
      <c r="N60" s="111">
        <f>'MUN_LEI 9478'!N60</f>
        <v>1162761.96</v>
      </c>
      <c r="O60" s="111">
        <f>'MUN_LEI 9478'!O60</f>
        <v>1223959.25</v>
      </c>
      <c r="P60" s="111">
        <f>'MUN_LEI 9478'!P60</f>
        <v>1083339.9100000001</v>
      </c>
      <c r="Q60" s="112">
        <f t="shared" si="0"/>
        <v>8185555.4400000004</v>
      </c>
    </row>
    <row r="61" spans="1:17" x14ac:dyDescent="0.15">
      <c r="A61" s="285"/>
      <c r="B61" s="286"/>
      <c r="C61" s="286"/>
      <c r="D61" s="98" t="s">
        <v>1</v>
      </c>
      <c r="E61" s="111">
        <f>'MUN_LEI 9478'!E61</f>
        <v>108359.25</v>
      </c>
      <c r="F61" s="111">
        <f>'MUN_LEI 9478'!F61</f>
        <v>117649.29999999999</v>
      </c>
      <c r="G61" s="111">
        <f>'MUN_LEI 9478'!G61</f>
        <v>123865.05000000002</v>
      </c>
      <c r="H61" s="111">
        <f>'MUN_LEI 9478'!H61</f>
        <v>96502.87</v>
      </c>
      <c r="I61" s="111">
        <f>'MUN_LEI 9478'!I61</f>
        <v>102997.26999999999</v>
      </c>
      <c r="J61" s="111">
        <f>'MUN_LEI 9478'!J61</f>
        <v>109800.81</v>
      </c>
      <c r="K61" s="111">
        <f>'MUN_LEI 9478'!K61</f>
        <v>123758.12999999999</v>
      </c>
      <c r="L61" s="111">
        <f>'MUN_LEI 9478'!L61</f>
        <v>127266.09</v>
      </c>
      <c r="M61" s="111">
        <f>'MUN_LEI 9478'!M61</f>
        <v>131664.54999999999</v>
      </c>
      <c r="N61" s="111">
        <f>'MUN_LEI 9478'!N61</f>
        <v>132336.82999999999</v>
      </c>
      <c r="O61" s="111">
        <f>'MUN_LEI 9478'!O61</f>
        <v>141989.38999999998</v>
      </c>
      <c r="P61" s="111">
        <f>'MUN_LEI 9478'!P61</f>
        <v>131853.21000000002</v>
      </c>
      <c r="Q61" s="112">
        <f t="shared" si="0"/>
        <v>1448042.75</v>
      </c>
    </row>
    <row r="62" spans="1:17" x14ac:dyDescent="0.15">
      <c r="A62" s="285"/>
      <c r="B62" s="286"/>
      <c r="C62" s="286" t="s">
        <v>2</v>
      </c>
      <c r="D62" s="98" t="s">
        <v>6</v>
      </c>
      <c r="E62" s="111">
        <f>'MUN_LEI 9478'!E62</f>
        <v>673551.25</v>
      </c>
      <c r="F62" s="111">
        <f>'MUN_LEI 9478'!F62</f>
        <v>672467.47</v>
      </c>
      <c r="G62" s="111">
        <f>'MUN_LEI 9478'!G62</f>
        <v>687136.84</v>
      </c>
      <c r="H62" s="111">
        <f>'MUN_LEI 9478'!H62</f>
        <v>12737.71</v>
      </c>
      <c r="I62" s="111">
        <f>'MUN_LEI 9478'!I62</f>
        <v>559.29999999999995</v>
      </c>
      <c r="J62" s="111">
        <f>'MUN_LEI 9478'!J62</f>
        <v>46285.17</v>
      </c>
      <c r="K62" s="111">
        <f>'MUN_LEI 9478'!K62</f>
        <v>7580.84</v>
      </c>
      <c r="L62" s="111">
        <f>'MUN_LEI 9478'!L62</f>
        <v>614528.16999999993</v>
      </c>
      <c r="M62" s="111">
        <f>'MUN_LEI 9478'!M62</f>
        <v>821773.94</v>
      </c>
      <c r="N62" s="111">
        <f>'MUN_LEI 9478'!N62</f>
        <v>872071.45</v>
      </c>
      <c r="O62" s="111">
        <f>'MUN_LEI 9478'!O62</f>
        <v>917969.44</v>
      </c>
      <c r="P62" s="111">
        <f>'MUN_LEI 9478'!P62</f>
        <v>812504.91999999993</v>
      </c>
      <c r="Q62" s="112">
        <f t="shared" si="0"/>
        <v>6139166.5</v>
      </c>
    </row>
    <row r="63" spans="1:17" x14ac:dyDescent="0.15">
      <c r="A63" s="285"/>
      <c r="B63" s="286"/>
      <c r="C63" s="286"/>
      <c r="D63" s="98" t="s">
        <v>1</v>
      </c>
      <c r="E63" s="111">
        <f>'MUN_LEI 9478'!E63</f>
        <v>460214.69</v>
      </c>
      <c r="F63" s="111">
        <f>'MUN_LEI 9478'!F63</f>
        <v>509415.3</v>
      </c>
      <c r="G63" s="111">
        <f>'MUN_LEI 9478'!G63</f>
        <v>407364.93</v>
      </c>
      <c r="H63" s="111">
        <f>'MUN_LEI 9478'!H63</f>
        <v>10221.39</v>
      </c>
      <c r="I63" s="111">
        <f>'MUN_LEI 9478'!I63</f>
        <v>480.56</v>
      </c>
      <c r="J63" s="111">
        <f>'MUN_LEI 9478'!J63</f>
        <v>50543.22</v>
      </c>
      <c r="K63" s="111">
        <f>'MUN_LEI 9478'!K63</f>
        <v>9832.27</v>
      </c>
      <c r="L63" s="111">
        <f>'MUN_LEI 9478'!L63</f>
        <v>500054.89</v>
      </c>
      <c r="M63" s="111">
        <f>'MUN_LEI 9478'!M63</f>
        <v>679902.17999999993</v>
      </c>
      <c r="N63" s="111">
        <f>'MUN_LEI 9478'!N63</f>
        <v>605001.72</v>
      </c>
      <c r="O63" s="111">
        <f>'MUN_LEI 9478'!O63</f>
        <v>635349.35</v>
      </c>
      <c r="P63" s="111">
        <f>'MUN_LEI 9478'!P63</f>
        <v>778994.47</v>
      </c>
      <c r="Q63" s="112">
        <f t="shared" si="0"/>
        <v>4647374.97</v>
      </c>
    </row>
    <row r="64" spans="1:17" x14ac:dyDescent="0.15">
      <c r="A64" s="285"/>
      <c r="B64" s="307" t="s">
        <v>7</v>
      </c>
      <c r="C64" s="307"/>
      <c r="D64" s="307"/>
      <c r="E64" s="111">
        <v>0</v>
      </c>
      <c r="F64" s="111">
        <v>0</v>
      </c>
      <c r="G64" s="111">
        <v>0</v>
      </c>
      <c r="H64" s="111">
        <v>0</v>
      </c>
      <c r="I64" s="111">
        <v>0</v>
      </c>
      <c r="J64" s="111">
        <v>0</v>
      </c>
      <c r="K64" s="111">
        <v>0</v>
      </c>
      <c r="L64" s="111">
        <v>0</v>
      </c>
      <c r="M64" s="111">
        <v>0</v>
      </c>
      <c r="N64" s="111">
        <v>0</v>
      </c>
      <c r="O64" s="111">
        <v>0</v>
      </c>
      <c r="P64" s="111">
        <v>0</v>
      </c>
      <c r="Q64" s="112">
        <f t="shared" si="0"/>
        <v>0</v>
      </c>
    </row>
    <row r="65" spans="1:17" x14ac:dyDescent="0.15">
      <c r="A65" s="285" t="s">
        <v>14</v>
      </c>
      <c r="B65" s="286" t="s">
        <v>3</v>
      </c>
      <c r="C65" s="306">
        <v>0.05</v>
      </c>
      <c r="D65" s="98" t="s">
        <v>0</v>
      </c>
      <c r="E65" s="111">
        <f>('MUN_LEI 9478'!E65*0.17)/0.3</f>
        <v>0</v>
      </c>
      <c r="F65" s="111">
        <f>('MUN_LEI 9478'!F65*0.17)/0.3</f>
        <v>0</v>
      </c>
      <c r="G65" s="111">
        <f>('MUN_LEI 9478'!G65*0.17)/0.3</f>
        <v>0</v>
      </c>
      <c r="H65" s="111">
        <f>('MUN_LEI 9478'!H65*0.17)/0.3</f>
        <v>0</v>
      </c>
      <c r="I65" s="111">
        <f>('MUN_LEI 9478'!I65*0.17)/0.3</f>
        <v>0</v>
      </c>
      <c r="J65" s="111">
        <f>('MUN_LEI 9478'!J65*0.17)/0.3</f>
        <v>0</v>
      </c>
      <c r="K65" s="111">
        <f>('MUN_LEI 9478'!K65*0.17)/0.3</f>
        <v>0</v>
      </c>
      <c r="L65" s="111">
        <f>('MUN_LEI 9478'!L65*0.17)/0.3</f>
        <v>0</v>
      </c>
      <c r="M65" s="111">
        <f>('MUN_LEI 9478'!M65*0.17)/0.3</f>
        <v>0</v>
      </c>
      <c r="N65" s="111">
        <f>('MUN_LEI 9478'!N65*0.17)/0.3</f>
        <v>0</v>
      </c>
      <c r="O65" s="111">
        <f>('MUN_LEI 9478'!O65*0.17)/0.3</f>
        <v>0</v>
      </c>
      <c r="P65" s="111">
        <f>('MUN_LEI 9478'!P65*0.17)/0.3</f>
        <v>0</v>
      </c>
      <c r="Q65" s="112">
        <f t="shared" si="0"/>
        <v>0</v>
      </c>
    </row>
    <row r="66" spans="1:17" x14ac:dyDescent="0.15">
      <c r="A66" s="285"/>
      <c r="B66" s="286"/>
      <c r="C66" s="286"/>
      <c r="D66" s="98" t="s">
        <v>1</v>
      </c>
      <c r="E66" s="111">
        <f>('MUN_LEI 9478'!E66*0.03)/0.1</f>
        <v>180432.06</v>
      </c>
      <c r="F66" s="111">
        <f>('MUN_LEI 9478'!F66*0.03)/0.1</f>
        <v>303306.13800000004</v>
      </c>
      <c r="G66" s="111">
        <f>('MUN_LEI 9478'!G66*0.03)/0.1</f>
        <v>230128.74</v>
      </c>
      <c r="H66" s="111">
        <f>('MUN_LEI 9478'!H66*0.03)/0.1</f>
        <v>164267.38500000001</v>
      </c>
      <c r="I66" s="111">
        <f>('MUN_LEI 9478'!I66*0.03)/0.1</f>
        <v>183504.05999999997</v>
      </c>
      <c r="J66" s="111">
        <f>('MUN_LEI 9478'!J66*0.03)/0.1</f>
        <v>158271.12</v>
      </c>
      <c r="K66" s="111">
        <f>('MUN_LEI 9478'!K66*0.03)/0.1</f>
        <v>246833.26499999996</v>
      </c>
      <c r="L66" s="111">
        <f>('MUN_LEI 9478'!L66*0.03)/0.1</f>
        <v>229530.95999999996</v>
      </c>
      <c r="M66" s="111">
        <f>('MUN_LEI 9478'!M66*0.03)/0.1</f>
        <v>273948.93</v>
      </c>
      <c r="N66" s="111">
        <f>('MUN_LEI 9478'!N66*0.03)/0.1</f>
        <v>177098.4</v>
      </c>
      <c r="O66" s="111">
        <f>('MUN_LEI 9478'!O66*0.03)/0.1</f>
        <v>254349.82799999992</v>
      </c>
      <c r="P66" s="111">
        <f>('MUN_LEI 9478'!P66*0.03)/0.1</f>
        <v>469349.685</v>
      </c>
      <c r="Q66" s="112">
        <f t="shared" si="0"/>
        <v>2871020.5709999995</v>
      </c>
    </row>
    <row r="67" spans="1:17" x14ac:dyDescent="0.15">
      <c r="A67" s="285"/>
      <c r="B67" s="286"/>
      <c r="C67" s="286" t="s">
        <v>2</v>
      </c>
      <c r="D67" s="98" t="s">
        <v>0</v>
      </c>
      <c r="E67" s="111">
        <f>('MUN_LEI 9478'!E67*0.17)/0.225</f>
        <v>0</v>
      </c>
      <c r="F67" s="111">
        <f>('MUN_LEI 9478'!F67*0.17)/0.225</f>
        <v>0</v>
      </c>
      <c r="G67" s="111">
        <f>('MUN_LEI 9478'!G67*0.17)/0.225</f>
        <v>0</v>
      </c>
      <c r="H67" s="111">
        <f>('MUN_LEI 9478'!H67*0.17)/0.225</f>
        <v>0</v>
      </c>
      <c r="I67" s="111">
        <f>('MUN_LEI 9478'!I67*0.17)/0.225</f>
        <v>0</v>
      </c>
      <c r="J67" s="111">
        <f>('MUN_LEI 9478'!J67*0.17)/0.225</f>
        <v>0</v>
      </c>
      <c r="K67" s="111">
        <f>('MUN_LEI 9478'!K67*0.17)/0.225</f>
        <v>0</v>
      </c>
      <c r="L67" s="111">
        <f>('MUN_LEI 9478'!L67*0.17)/0.225</f>
        <v>0</v>
      </c>
      <c r="M67" s="111">
        <f>('MUN_LEI 9478'!M67*0.17)/0.225</f>
        <v>0</v>
      </c>
      <c r="N67" s="111">
        <f>('MUN_LEI 9478'!N67*0.17)/0.225</f>
        <v>0</v>
      </c>
      <c r="O67" s="111">
        <f>('MUN_LEI 9478'!O67*0.17)/0.225</f>
        <v>0</v>
      </c>
      <c r="P67" s="111">
        <f>('MUN_LEI 9478'!P67*0.17)/0.225</f>
        <v>0</v>
      </c>
      <c r="Q67" s="112">
        <f t="shared" ref="Q67:Q130" si="1">SUM(E67:P67)</f>
        <v>0</v>
      </c>
    </row>
    <row r="68" spans="1:17" x14ac:dyDescent="0.15">
      <c r="A68" s="285"/>
      <c r="B68" s="286"/>
      <c r="C68" s="286"/>
      <c r="D68" s="98" t="s">
        <v>1</v>
      </c>
      <c r="E68" s="111">
        <f>('MUN_LEI 9478'!E68*0.03)/0.075</f>
        <v>105129.94799999999</v>
      </c>
      <c r="F68" s="111">
        <f>('MUN_LEI 9478'!F68*0.03)/0.075</f>
        <v>101361.216</v>
      </c>
      <c r="G68" s="111">
        <f>('MUN_LEI 9478'!G68*0.03)/0.075</f>
        <v>92550.624000000011</v>
      </c>
      <c r="H68" s="111">
        <f>('MUN_LEI 9478'!H68*0.03)/0.075</f>
        <v>76083.343999999997</v>
      </c>
      <c r="I68" s="111">
        <f>('MUN_LEI 9478'!I68*0.03)/0.075</f>
        <v>102476.03199999999</v>
      </c>
      <c r="J68" s="111">
        <f>('MUN_LEI 9478'!J68*0.03)/0.075</f>
        <v>101325.91599999998</v>
      </c>
      <c r="K68" s="111">
        <f>('MUN_LEI 9478'!K68*0.03)/0.075</f>
        <v>158688.448</v>
      </c>
      <c r="L68" s="111">
        <f>('MUN_LEI 9478'!L68*0.03)/0.075</f>
        <v>121057.76799999998</v>
      </c>
      <c r="M68" s="111">
        <f>('MUN_LEI 9478'!M68*0.03)/0.075</f>
        <v>113804.5</v>
      </c>
      <c r="N68" s="111">
        <f>('MUN_LEI 9478'!N68*0.03)/0.075</f>
        <v>95313.563999999998</v>
      </c>
      <c r="O68" s="111">
        <f>('MUN_LEI 9478'!O68*0.03)/0.075</f>
        <v>44871.380000000005</v>
      </c>
      <c r="P68" s="111">
        <f>('MUN_LEI 9478'!P68*0.03)/0.075</f>
        <v>115719.22400000002</v>
      </c>
      <c r="Q68" s="112">
        <f t="shared" si="1"/>
        <v>1228381.9639999997</v>
      </c>
    </row>
    <row r="69" spans="1:17" x14ac:dyDescent="0.15">
      <c r="A69" s="285"/>
      <c r="B69" s="286" t="s">
        <v>5</v>
      </c>
      <c r="C69" s="306">
        <v>0.05</v>
      </c>
      <c r="D69" s="98" t="s">
        <v>6</v>
      </c>
      <c r="E69" s="111">
        <f>'MUN_LEI 9478'!E69</f>
        <v>0</v>
      </c>
      <c r="F69" s="111">
        <f>'MUN_LEI 9478'!F69</f>
        <v>0</v>
      </c>
      <c r="G69" s="111">
        <f>'MUN_LEI 9478'!G69</f>
        <v>0</v>
      </c>
      <c r="H69" s="111">
        <f>'MUN_LEI 9478'!H69</f>
        <v>0</v>
      </c>
      <c r="I69" s="111">
        <f>'MUN_LEI 9478'!I69</f>
        <v>0</v>
      </c>
      <c r="J69" s="111">
        <f>'MUN_LEI 9478'!J69</f>
        <v>0</v>
      </c>
      <c r="K69" s="111">
        <f>'MUN_LEI 9478'!K69</f>
        <v>0</v>
      </c>
      <c r="L69" s="111">
        <f>'MUN_LEI 9478'!L69</f>
        <v>0</v>
      </c>
      <c r="M69" s="111">
        <f>'MUN_LEI 9478'!M69</f>
        <v>0</v>
      </c>
      <c r="N69" s="111">
        <f>'MUN_LEI 9478'!N69</f>
        <v>0</v>
      </c>
      <c r="O69" s="111">
        <f>'MUN_LEI 9478'!O69</f>
        <v>0</v>
      </c>
      <c r="P69" s="111">
        <f>'MUN_LEI 9478'!P69</f>
        <v>0</v>
      </c>
      <c r="Q69" s="112">
        <f t="shared" si="1"/>
        <v>0</v>
      </c>
    </row>
    <row r="70" spans="1:17" x14ac:dyDescent="0.15">
      <c r="A70" s="285"/>
      <c r="B70" s="286"/>
      <c r="C70" s="286"/>
      <c r="D70" s="98" t="s">
        <v>1</v>
      </c>
      <c r="E70" s="111">
        <f>'MUN_LEI 9478'!E70</f>
        <v>0</v>
      </c>
      <c r="F70" s="111">
        <f>'MUN_LEI 9478'!F70</f>
        <v>0</v>
      </c>
      <c r="G70" s="111">
        <f>'MUN_LEI 9478'!G70</f>
        <v>0</v>
      </c>
      <c r="H70" s="111">
        <f>'MUN_LEI 9478'!H70</f>
        <v>0</v>
      </c>
      <c r="I70" s="111">
        <f>'MUN_LEI 9478'!I70</f>
        <v>0</v>
      </c>
      <c r="J70" s="111">
        <f>'MUN_LEI 9478'!J70</f>
        <v>0</v>
      </c>
      <c r="K70" s="111">
        <f>'MUN_LEI 9478'!K70</f>
        <v>0</v>
      </c>
      <c r="L70" s="111">
        <f>'MUN_LEI 9478'!L70</f>
        <v>0</v>
      </c>
      <c r="M70" s="111">
        <f>'MUN_LEI 9478'!M70</f>
        <v>0</v>
      </c>
      <c r="N70" s="111">
        <f>'MUN_LEI 9478'!N70</f>
        <v>0</v>
      </c>
      <c r="O70" s="111">
        <f>'MUN_LEI 9478'!O70</f>
        <v>0</v>
      </c>
      <c r="P70" s="111">
        <f>'MUN_LEI 9478'!P70</f>
        <v>70442.13</v>
      </c>
      <c r="Q70" s="112">
        <f t="shared" si="1"/>
        <v>70442.13</v>
      </c>
    </row>
    <row r="71" spans="1:17" x14ac:dyDescent="0.15">
      <c r="A71" s="285"/>
      <c r="B71" s="286"/>
      <c r="C71" s="286" t="s">
        <v>2</v>
      </c>
      <c r="D71" s="98" t="s">
        <v>6</v>
      </c>
      <c r="E71" s="111">
        <f>'MUN_LEI 9478'!E71</f>
        <v>0</v>
      </c>
      <c r="F71" s="111">
        <f>'MUN_LEI 9478'!F71</f>
        <v>0</v>
      </c>
      <c r="G71" s="111">
        <f>'MUN_LEI 9478'!G71</f>
        <v>0</v>
      </c>
      <c r="H71" s="111">
        <f>'MUN_LEI 9478'!H71</f>
        <v>0</v>
      </c>
      <c r="I71" s="111">
        <f>'MUN_LEI 9478'!I71</f>
        <v>0</v>
      </c>
      <c r="J71" s="111">
        <f>'MUN_LEI 9478'!J71</f>
        <v>0</v>
      </c>
      <c r="K71" s="111">
        <f>'MUN_LEI 9478'!K71</f>
        <v>0</v>
      </c>
      <c r="L71" s="111">
        <f>'MUN_LEI 9478'!L71</f>
        <v>0</v>
      </c>
      <c r="M71" s="111">
        <f>'MUN_LEI 9478'!M71</f>
        <v>0</v>
      </c>
      <c r="N71" s="111">
        <f>'MUN_LEI 9478'!N71</f>
        <v>0</v>
      </c>
      <c r="O71" s="111">
        <f>'MUN_LEI 9478'!O71</f>
        <v>0</v>
      </c>
      <c r="P71" s="111">
        <f>'MUN_LEI 9478'!P71</f>
        <v>0</v>
      </c>
      <c r="Q71" s="112">
        <f t="shared" si="1"/>
        <v>0</v>
      </c>
    </row>
    <row r="72" spans="1:17" x14ac:dyDescent="0.15">
      <c r="A72" s="285"/>
      <c r="B72" s="286"/>
      <c r="C72" s="286"/>
      <c r="D72" s="98" t="s">
        <v>1</v>
      </c>
      <c r="E72" s="111">
        <f>'MUN_LEI 9478'!E72</f>
        <v>0</v>
      </c>
      <c r="F72" s="111">
        <f>'MUN_LEI 9478'!F72</f>
        <v>0</v>
      </c>
      <c r="G72" s="111">
        <f>'MUN_LEI 9478'!G72</f>
        <v>0</v>
      </c>
      <c r="H72" s="111">
        <f>'MUN_LEI 9478'!H72</f>
        <v>0</v>
      </c>
      <c r="I72" s="111">
        <f>'MUN_LEI 9478'!I72</f>
        <v>0</v>
      </c>
      <c r="J72" s="111">
        <f>'MUN_LEI 9478'!J72</f>
        <v>0</v>
      </c>
      <c r="K72" s="111">
        <f>'MUN_LEI 9478'!K72</f>
        <v>0</v>
      </c>
      <c r="L72" s="111">
        <f>'MUN_LEI 9478'!L72</f>
        <v>0</v>
      </c>
      <c r="M72" s="111">
        <f>'MUN_LEI 9478'!M72</f>
        <v>0</v>
      </c>
      <c r="N72" s="111">
        <f>'MUN_LEI 9478'!N72</f>
        <v>0</v>
      </c>
      <c r="O72" s="111">
        <f>'MUN_LEI 9478'!O72</f>
        <v>0</v>
      </c>
      <c r="P72" s="111">
        <f>'MUN_LEI 9478'!P72</f>
        <v>0</v>
      </c>
      <c r="Q72" s="112">
        <f t="shared" si="1"/>
        <v>0</v>
      </c>
    </row>
    <row r="73" spans="1:17" x14ac:dyDescent="0.15">
      <c r="A73" s="285"/>
      <c r="B73" s="307" t="s">
        <v>7</v>
      </c>
      <c r="C73" s="307"/>
      <c r="D73" s="307"/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0</v>
      </c>
      <c r="N73" s="111">
        <v>0</v>
      </c>
      <c r="O73" s="111">
        <v>0</v>
      </c>
      <c r="P73" s="111">
        <v>0</v>
      </c>
      <c r="Q73" s="112">
        <f t="shared" si="1"/>
        <v>0</v>
      </c>
    </row>
    <row r="74" spans="1:17" x14ac:dyDescent="0.15">
      <c r="A74" s="285" t="s">
        <v>15</v>
      </c>
      <c r="B74" s="286" t="s">
        <v>3</v>
      </c>
      <c r="C74" s="306">
        <v>0.05</v>
      </c>
      <c r="D74" s="98" t="s">
        <v>0</v>
      </c>
      <c r="E74" s="111">
        <f>('MUN_LEI 9478'!E74*0.17)/0.3</f>
        <v>0</v>
      </c>
      <c r="F74" s="111">
        <f>('MUN_LEI 9478'!F74*0.17)/0.3</f>
        <v>0</v>
      </c>
      <c r="G74" s="111">
        <f>('MUN_LEI 9478'!G74*0.17)/0.3</f>
        <v>0</v>
      </c>
      <c r="H74" s="111">
        <f>('MUN_LEI 9478'!H74*0.17)/0.3</f>
        <v>0</v>
      </c>
      <c r="I74" s="111">
        <f>('MUN_LEI 9478'!I74*0.17)/0.3</f>
        <v>0</v>
      </c>
      <c r="J74" s="111">
        <f>('MUN_LEI 9478'!J74*0.17)/0.3</f>
        <v>0</v>
      </c>
      <c r="K74" s="111">
        <f>('MUN_LEI 9478'!K74*0.17)/0.3</f>
        <v>0</v>
      </c>
      <c r="L74" s="111">
        <f>('MUN_LEI 9478'!L74*0.17)/0.3</f>
        <v>0</v>
      </c>
      <c r="M74" s="111">
        <f>('MUN_LEI 9478'!M74*0.17)/0.3</f>
        <v>0</v>
      </c>
      <c r="N74" s="111">
        <f>('MUN_LEI 9478'!N74*0.17)/0.3</f>
        <v>0</v>
      </c>
      <c r="O74" s="111">
        <f>('MUN_LEI 9478'!O74*0.17)/0.3</f>
        <v>0</v>
      </c>
      <c r="P74" s="111">
        <f>('MUN_LEI 9478'!P74*0.17)/0.3</f>
        <v>0</v>
      </c>
      <c r="Q74" s="112">
        <f t="shared" si="1"/>
        <v>0</v>
      </c>
    </row>
    <row r="75" spans="1:17" x14ac:dyDescent="0.15">
      <c r="A75" s="285"/>
      <c r="B75" s="286"/>
      <c r="C75" s="286"/>
      <c r="D75" s="98" t="s">
        <v>1</v>
      </c>
      <c r="E75" s="111">
        <f>('MUN_LEI 9478'!E75*0.03)/0.1</f>
        <v>0</v>
      </c>
      <c r="F75" s="111">
        <f>('MUN_LEI 9478'!F75*0.03)/0.1</f>
        <v>0</v>
      </c>
      <c r="G75" s="111">
        <f>('MUN_LEI 9478'!G75*0.03)/0.1</f>
        <v>0</v>
      </c>
      <c r="H75" s="111">
        <f>('MUN_LEI 9478'!H75*0.03)/0.1</f>
        <v>0</v>
      </c>
      <c r="I75" s="111">
        <f>('MUN_LEI 9478'!I75*0.03)/0.1</f>
        <v>0</v>
      </c>
      <c r="J75" s="111">
        <f>('MUN_LEI 9478'!J75*0.03)/0.1</f>
        <v>0</v>
      </c>
      <c r="K75" s="111">
        <f>('MUN_LEI 9478'!K75*0.03)/0.1</f>
        <v>0</v>
      </c>
      <c r="L75" s="111">
        <f>('MUN_LEI 9478'!L75*0.03)/0.1</f>
        <v>0</v>
      </c>
      <c r="M75" s="111">
        <f>('MUN_LEI 9478'!M75*0.03)/0.1</f>
        <v>0</v>
      </c>
      <c r="N75" s="111">
        <f>('MUN_LEI 9478'!N75*0.03)/0.1</f>
        <v>0</v>
      </c>
      <c r="O75" s="111">
        <f>('MUN_LEI 9478'!O75*0.03)/0.1</f>
        <v>0</v>
      </c>
      <c r="P75" s="111">
        <f>('MUN_LEI 9478'!P75*0.03)/0.1</f>
        <v>0</v>
      </c>
      <c r="Q75" s="112">
        <f t="shared" si="1"/>
        <v>0</v>
      </c>
    </row>
    <row r="76" spans="1:17" x14ac:dyDescent="0.15">
      <c r="A76" s="285"/>
      <c r="B76" s="286"/>
      <c r="C76" s="286" t="s">
        <v>2</v>
      </c>
      <c r="D76" s="98" t="s">
        <v>0</v>
      </c>
      <c r="E76" s="111">
        <f>('MUN_LEI 9478'!E76*0.17)/0.225</f>
        <v>0</v>
      </c>
      <c r="F76" s="111">
        <f>('MUN_LEI 9478'!F76*0.17)/0.225</f>
        <v>0</v>
      </c>
      <c r="G76" s="111">
        <f>('MUN_LEI 9478'!G76*0.17)/0.225</f>
        <v>0</v>
      </c>
      <c r="H76" s="111">
        <f>('MUN_LEI 9478'!H76*0.17)/0.225</f>
        <v>0</v>
      </c>
      <c r="I76" s="111">
        <f>('MUN_LEI 9478'!I76*0.17)/0.225</f>
        <v>0</v>
      </c>
      <c r="J76" s="111">
        <f>('MUN_LEI 9478'!J76*0.17)/0.225</f>
        <v>0</v>
      </c>
      <c r="K76" s="111">
        <f>('MUN_LEI 9478'!K76*0.17)/0.225</f>
        <v>0</v>
      </c>
      <c r="L76" s="111">
        <f>('MUN_LEI 9478'!L76*0.17)/0.225</f>
        <v>0</v>
      </c>
      <c r="M76" s="111">
        <f>('MUN_LEI 9478'!M76*0.17)/0.225</f>
        <v>0</v>
      </c>
      <c r="N76" s="111">
        <f>('MUN_LEI 9478'!N76*0.17)/0.225</f>
        <v>0</v>
      </c>
      <c r="O76" s="111">
        <f>('MUN_LEI 9478'!O76*0.17)/0.225</f>
        <v>0</v>
      </c>
      <c r="P76" s="111">
        <f>('MUN_LEI 9478'!P76*0.17)/0.225</f>
        <v>0</v>
      </c>
      <c r="Q76" s="112">
        <f t="shared" si="1"/>
        <v>0</v>
      </c>
    </row>
    <row r="77" spans="1:17" x14ac:dyDescent="0.15">
      <c r="A77" s="285"/>
      <c r="B77" s="286"/>
      <c r="C77" s="286"/>
      <c r="D77" s="98" t="s">
        <v>1</v>
      </c>
      <c r="E77" s="111">
        <f>('MUN_LEI 9478'!E77*0.03)/0.075</f>
        <v>29278.963999999985</v>
      </c>
      <c r="F77" s="111">
        <f>('MUN_LEI 9478'!F77*0.03)/0.075</f>
        <v>15420.155999999995</v>
      </c>
      <c r="G77" s="111">
        <f>('MUN_LEI 9478'!G77*0.03)/0.075</f>
        <v>26481.716000000011</v>
      </c>
      <c r="H77" s="111">
        <f>('MUN_LEI 9478'!H77*0.03)/0.075</f>
        <v>11441.815999999999</v>
      </c>
      <c r="I77" s="111">
        <f>('MUN_LEI 9478'!I77*0.03)/0.075</f>
        <v>10119.215999999995</v>
      </c>
      <c r="J77" s="111">
        <f>('MUN_LEI 9478'!J77*0.03)/0.075</f>
        <v>11055.303999999998</v>
      </c>
      <c r="K77" s="111">
        <f>('MUN_LEI 9478'!K77*0.03)/0.075</f>
        <v>25447.435999999991</v>
      </c>
      <c r="L77" s="111">
        <f>('MUN_LEI 9478'!L77*0.03)/0.075</f>
        <v>7487.7519999999995</v>
      </c>
      <c r="M77" s="111">
        <f>('MUN_LEI 9478'!M77*0.03)/0.075</f>
        <v>6244.304000000001</v>
      </c>
      <c r="N77" s="111">
        <f>('MUN_LEI 9478'!N77*0.03)/0.075</f>
        <v>3410.3360000000016</v>
      </c>
      <c r="O77" s="111">
        <f>('MUN_LEI 9478'!O77*0.03)/0.075</f>
        <v>6372.8920000000007</v>
      </c>
      <c r="P77" s="111">
        <f>('MUN_LEI 9478'!P77*0.03)/0.075</f>
        <v>8998.1679999999978</v>
      </c>
      <c r="Q77" s="112">
        <f t="shared" si="1"/>
        <v>161758.06</v>
      </c>
    </row>
    <row r="78" spans="1:17" x14ac:dyDescent="0.15">
      <c r="A78" s="285"/>
      <c r="B78" s="286" t="s">
        <v>5</v>
      </c>
      <c r="C78" s="306">
        <v>0.05</v>
      </c>
      <c r="D78" s="98" t="s">
        <v>6</v>
      </c>
      <c r="E78" s="111">
        <f>'MUN_LEI 9478'!E78</f>
        <v>0</v>
      </c>
      <c r="F78" s="111">
        <f>'MUN_LEI 9478'!F78</f>
        <v>0</v>
      </c>
      <c r="G78" s="111">
        <f>'MUN_LEI 9478'!G78</f>
        <v>0</v>
      </c>
      <c r="H78" s="111">
        <f>'MUN_LEI 9478'!H78</f>
        <v>0</v>
      </c>
      <c r="I78" s="111">
        <f>'MUN_LEI 9478'!I78</f>
        <v>0</v>
      </c>
      <c r="J78" s="111">
        <f>'MUN_LEI 9478'!J78</f>
        <v>0</v>
      </c>
      <c r="K78" s="111">
        <f>'MUN_LEI 9478'!K78</f>
        <v>0</v>
      </c>
      <c r="L78" s="111">
        <f>'MUN_LEI 9478'!L78</f>
        <v>0</v>
      </c>
      <c r="M78" s="111">
        <f>'MUN_LEI 9478'!M78</f>
        <v>0</v>
      </c>
      <c r="N78" s="111">
        <f>'MUN_LEI 9478'!N78</f>
        <v>0</v>
      </c>
      <c r="O78" s="111">
        <f>'MUN_LEI 9478'!O78</f>
        <v>0</v>
      </c>
      <c r="P78" s="111">
        <f>'MUN_LEI 9478'!P78</f>
        <v>0</v>
      </c>
      <c r="Q78" s="112">
        <f t="shared" si="1"/>
        <v>0</v>
      </c>
    </row>
    <row r="79" spans="1:17" x14ac:dyDescent="0.15">
      <c r="A79" s="285"/>
      <c r="B79" s="286"/>
      <c r="C79" s="286"/>
      <c r="D79" s="98" t="s">
        <v>1</v>
      </c>
      <c r="E79" s="111">
        <f>'MUN_LEI 9478'!E79</f>
        <v>0</v>
      </c>
      <c r="F79" s="111">
        <f>'MUN_LEI 9478'!F79</f>
        <v>0</v>
      </c>
      <c r="G79" s="111">
        <f>'MUN_LEI 9478'!G79</f>
        <v>0</v>
      </c>
      <c r="H79" s="111">
        <f>'MUN_LEI 9478'!H79</f>
        <v>0</v>
      </c>
      <c r="I79" s="111">
        <f>'MUN_LEI 9478'!I79</f>
        <v>0</v>
      </c>
      <c r="J79" s="111">
        <f>'MUN_LEI 9478'!J79</f>
        <v>0</v>
      </c>
      <c r="K79" s="111">
        <f>'MUN_LEI 9478'!K79</f>
        <v>0</v>
      </c>
      <c r="L79" s="111">
        <f>'MUN_LEI 9478'!L79</f>
        <v>0</v>
      </c>
      <c r="M79" s="111">
        <f>'MUN_LEI 9478'!M79</f>
        <v>0</v>
      </c>
      <c r="N79" s="111">
        <f>'MUN_LEI 9478'!N79</f>
        <v>0</v>
      </c>
      <c r="O79" s="111">
        <f>'MUN_LEI 9478'!O79</f>
        <v>0</v>
      </c>
      <c r="P79" s="111">
        <f>'MUN_LEI 9478'!P79</f>
        <v>0</v>
      </c>
      <c r="Q79" s="112">
        <f t="shared" si="1"/>
        <v>0</v>
      </c>
    </row>
    <row r="80" spans="1:17" x14ac:dyDescent="0.15">
      <c r="A80" s="285"/>
      <c r="B80" s="286"/>
      <c r="C80" s="286" t="s">
        <v>2</v>
      </c>
      <c r="D80" s="98" t="s">
        <v>6</v>
      </c>
      <c r="E80" s="111">
        <f>'MUN_LEI 9478'!E80</f>
        <v>0</v>
      </c>
      <c r="F80" s="111">
        <f>'MUN_LEI 9478'!F80</f>
        <v>0</v>
      </c>
      <c r="G80" s="111">
        <f>'MUN_LEI 9478'!G80</f>
        <v>0</v>
      </c>
      <c r="H80" s="111">
        <f>'MUN_LEI 9478'!H80</f>
        <v>0</v>
      </c>
      <c r="I80" s="111">
        <f>'MUN_LEI 9478'!I80</f>
        <v>0</v>
      </c>
      <c r="J80" s="111">
        <f>'MUN_LEI 9478'!J80</f>
        <v>0</v>
      </c>
      <c r="K80" s="111">
        <f>'MUN_LEI 9478'!K80</f>
        <v>0</v>
      </c>
      <c r="L80" s="111">
        <f>'MUN_LEI 9478'!L80</f>
        <v>0</v>
      </c>
      <c r="M80" s="111">
        <f>'MUN_LEI 9478'!M80</f>
        <v>0</v>
      </c>
      <c r="N80" s="111">
        <f>'MUN_LEI 9478'!N80</f>
        <v>0</v>
      </c>
      <c r="O80" s="111">
        <f>'MUN_LEI 9478'!O80</f>
        <v>0</v>
      </c>
      <c r="P80" s="111">
        <f>'MUN_LEI 9478'!P80</f>
        <v>0</v>
      </c>
      <c r="Q80" s="112">
        <f t="shared" si="1"/>
        <v>0</v>
      </c>
    </row>
    <row r="81" spans="1:17" x14ac:dyDescent="0.15">
      <c r="A81" s="285"/>
      <c r="B81" s="286"/>
      <c r="C81" s="286"/>
      <c r="D81" s="98" t="s">
        <v>1</v>
      </c>
      <c r="E81" s="111">
        <f>'MUN_LEI 9478'!E81</f>
        <v>86496.679999999978</v>
      </c>
      <c r="F81" s="111">
        <f>'MUN_LEI 9478'!F81</f>
        <v>83509.440000000002</v>
      </c>
      <c r="G81" s="111">
        <f>'MUN_LEI 9478'!G81</f>
        <v>102931.42999999996</v>
      </c>
      <c r="H81" s="111">
        <f>'MUN_LEI 9478'!H81</f>
        <v>89650.860000000015</v>
      </c>
      <c r="I81" s="111">
        <f>'MUN_LEI 9478'!I81</f>
        <v>104553.23000000003</v>
      </c>
      <c r="J81" s="111">
        <f>'MUN_LEI 9478'!J81</f>
        <v>108744.58000000002</v>
      </c>
      <c r="K81" s="111">
        <f>'MUN_LEI 9478'!K81</f>
        <v>141659.64000000001</v>
      </c>
      <c r="L81" s="111">
        <f>'MUN_LEI 9478'!L81</f>
        <v>101389.52999999997</v>
      </c>
      <c r="M81" s="111">
        <f>'MUN_LEI 9478'!M81</f>
        <v>97822.76</v>
      </c>
      <c r="N81" s="111">
        <f>'MUN_LEI 9478'!N81</f>
        <v>97611.27999999997</v>
      </c>
      <c r="O81" s="111">
        <f>'MUN_LEI 9478'!O81</f>
        <v>99436.059999999969</v>
      </c>
      <c r="P81" s="111">
        <f>'MUN_LEI 9478'!P81</f>
        <v>58298.10000000002</v>
      </c>
      <c r="Q81" s="112">
        <f t="shared" si="1"/>
        <v>1172103.5900000001</v>
      </c>
    </row>
    <row r="82" spans="1:17" x14ac:dyDescent="0.15">
      <c r="A82" s="285"/>
      <c r="B82" s="307" t="s">
        <v>7</v>
      </c>
      <c r="C82" s="307"/>
      <c r="D82" s="307"/>
      <c r="E82" s="111">
        <v>0</v>
      </c>
      <c r="F82" s="111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11">
        <v>0</v>
      </c>
      <c r="O82" s="111">
        <v>0</v>
      </c>
      <c r="P82" s="111">
        <v>0</v>
      </c>
      <c r="Q82" s="112">
        <f t="shared" si="1"/>
        <v>0</v>
      </c>
    </row>
    <row r="83" spans="1:17" x14ac:dyDescent="0.15">
      <c r="A83" s="285" t="s">
        <v>16</v>
      </c>
      <c r="B83" s="286" t="s">
        <v>3</v>
      </c>
      <c r="C83" s="306">
        <v>0.05</v>
      </c>
      <c r="D83" s="98" t="s">
        <v>0</v>
      </c>
      <c r="E83" s="111">
        <f>('MUN_LEI 9478'!E83*0.17)/0.3</f>
        <v>0</v>
      </c>
      <c r="F83" s="111">
        <f>('MUN_LEI 9478'!F83*0.17)/0.3</f>
        <v>0</v>
      </c>
      <c r="G83" s="111">
        <f>('MUN_LEI 9478'!G83*0.17)/0.3</f>
        <v>0</v>
      </c>
      <c r="H83" s="111">
        <f>('MUN_LEI 9478'!H83*0.17)/0.3</f>
        <v>0</v>
      </c>
      <c r="I83" s="111">
        <f>('MUN_LEI 9478'!I83*0.17)/0.3</f>
        <v>0</v>
      </c>
      <c r="J83" s="111">
        <f>('MUN_LEI 9478'!J83*0.17)/0.3</f>
        <v>0</v>
      </c>
      <c r="K83" s="111">
        <f>('MUN_LEI 9478'!K83*0.17)/0.3</f>
        <v>0</v>
      </c>
      <c r="L83" s="111">
        <f>('MUN_LEI 9478'!L83*0.17)/0.3</f>
        <v>0</v>
      </c>
      <c r="M83" s="111">
        <f>('MUN_LEI 9478'!M83*0.17)/0.3</f>
        <v>0</v>
      </c>
      <c r="N83" s="111">
        <f>('MUN_LEI 9478'!N83*0.17)/0.3</f>
        <v>0</v>
      </c>
      <c r="O83" s="111">
        <f>('MUN_LEI 9478'!O83*0.17)/0.3</f>
        <v>0</v>
      </c>
      <c r="P83" s="111">
        <f>('MUN_LEI 9478'!P83*0.17)/0.3</f>
        <v>0</v>
      </c>
      <c r="Q83" s="112">
        <f t="shared" si="1"/>
        <v>0</v>
      </c>
    </row>
    <row r="84" spans="1:17" x14ac:dyDescent="0.15">
      <c r="A84" s="285"/>
      <c r="B84" s="286"/>
      <c r="C84" s="286"/>
      <c r="D84" s="98" t="s">
        <v>1</v>
      </c>
      <c r="E84" s="111">
        <f>('MUN_LEI 9478'!E84*0.03)/0.1</f>
        <v>916594.91999999993</v>
      </c>
      <c r="F84" s="111">
        <f>('MUN_LEI 9478'!F84*0.03)/0.1</f>
        <v>1014390.6330000001</v>
      </c>
      <c r="G84" s="111">
        <f>('MUN_LEI 9478'!G84*0.03)/0.1</f>
        <v>1035579.4139999999</v>
      </c>
      <c r="H84" s="111">
        <f>('MUN_LEI 9478'!H84*0.03)/0.1</f>
        <v>873902.58299999963</v>
      </c>
      <c r="I84" s="111">
        <f>('MUN_LEI 9478'!I84*0.03)/0.1</f>
        <v>961561.39199999999</v>
      </c>
      <c r="J84" s="111">
        <f>('MUN_LEI 9478'!J84*0.03)/0.1</f>
        <v>1181171.7</v>
      </c>
      <c r="K84" s="111">
        <f>('MUN_LEI 9478'!K84*0.03)/0.1</f>
        <v>1234166.3909999996</v>
      </c>
      <c r="L84" s="111">
        <f>('MUN_LEI 9478'!L84*0.03)/0.1</f>
        <v>1202742.3359999997</v>
      </c>
      <c r="M84" s="111">
        <f>('MUN_LEI 9478'!M84*0.03)/0.1</f>
        <v>1214507.085</v>
      </c>
      <c r="N84" s="111">
        <f>('MUN_LEI 9478'!N84*0.03)/0.1</f>
        <v>1338077.085</v>
      </c>
      <c r="O84" s="111">
        <f>('MUN_LEI 9478'!O84*0.03)/0.1</f>
        <v>1663871.9399999995</v>
      </c>
      <c r="P84" s="111">
        <f>('MUN_LEI 9478'!P84*0.03)/0.1</f>
        <v>1695180.7139999997</v>
      </c>
      <c r="Q84" s="112">
        <f t="shared" si="1"/>
        <v>14331746.193</v>
      </c>
    </row>
    <row r="85" spans="1:17" x14ac:dyDescent="0.15">
      <c r="A85" s="285"/>
      <c r="B85" s="286"/>
      <c r="C85" s="286" t="s">
        <v>2</v>
      </c>
      <c r="D85" s="98" t="s">
        <v>0</v>
      </c>
      <c r="E85" s="111">
        <f>('MUN_LEI 9478'!E85*0.17)/0.225</f>
        <v>0</v>
      </c>
      <c r="F85" s="111">
        <f>('MUN_LEI 9478'!F85*0.17)/0.225</f>
        <v>0</v>
      </c>
      <c r="G85" s="111">
        <f>('MUN_LEI 9478'!G85*0.17)/0.225</f>
        <v>0</v>
      </c>
      <c r="H85" s="111">
        <f>('MUN_LEI 9478'!H85*0.17)/0.225</f>
        <v>0</v>
      </c>
      <c r="I85" s="111">
        <f>('MUN_LEI 9478'!I85*0.17)/0.225</f>
        <v>0</v>
      </c>
      <c r="J85" s="111">
        <f>('MUN_LEI 9478'!J85*0.17)/0.225</f>
        <v>0</v>
      </c>
      <c r="K85" s="111">
        <f>('MUN_LEI 9478'!K85*0.17)/0.225</f>
        <v>0</v>
      </c>
      <c r="L85" s="111">
        <f>('MUN_LEI 9478'!L85*0.17)/0.225</f>
        <v>0</v>
      </c>
      <c r="M85" s="111">
        <f>('MUN_LEI 9478'!M85*0.17)/0.225</f>
        <v>0</v>
      </c>
      <c r="N85" s="111">
        <f>('MUN_LEI 9478'!N85*0.17)/0.225</f>
        <v>0</v>
      </c>
      <c r="O85" s="111">
        <f>('MUN_LEI 9478'!O85*0.17)/0.225</f>
        <v>0</v>
      </c>
      <c r="P85" s="111">
        <f>('MUN_LEI 9478'!P85*0.17)/0.225</f>
        <v>0</v>
      </c>
      <c r="Q85" s="112">
        <f t="shared" si="1"/>
        <v>0</v>
      </c>
    </row>
    <row r="86" spans="1:17" x14ac:dyDescent="0.15">
      <c r="A86" s="285"/>
      <c r="B86" s="286"/>
      <c r="C86" s="286"/>
      <c r="D86" s="98" t="s">
        <v>1</v>
      </c>
      <c r="E86" s="111">
        <f>('MUN_LEI 9478'!E86*0.03)/0.075</f>
        <v>262.74</v>
      </c>
      <c r="F86" s="111">
        <f>('MUN_LEI 9478'!F86*0.03)/0.075</f>
        <v>9501.9920000000002</v>
      </c>
      <c r="G86" s="111">
        <f>('MUN_LEI 9478'!G86*0.03)/0.075</f>
        <v>9763.4160000000011</v>
      </c>
      <c r="H86" s="111">
        <f>('MUN_LEI 9478'!H86*0.03)/0.075</f>
        <v>7230.9999999999991</v>
      </c>
      <c r="I86" s="111">
        <f>('MUN_LEI 9478'!I86*0.03)/0.075</f>
        <v>6989.9440000000004</v>
      </c>
      <c r="J86" s="111">
        <f>('MUN_LEI 9478'!J86*0.03)/0.075</f>
        <v>8332.8040000000001</v>
      </c>
      <c r="K86" s="111">
        <f>('MUN_LEI 9478'!K86*0.03)/0.075</f>
        <v>9645.4480000000021</v>
      </c>
      <c r="L86" s="111">
        <f>('MUN_LEI 9478'!L86*0.03)/0.075</f>
        <v>2116.8959999999997</v>
      </c>
      <c r="M86" s="111">
        <f>('MUN_LEI 9478'!M86*0.03)/0.075</f>
        <v>263.44799999999998</v>
      </c>
      <c r="N86" s="111">
        <f>('MUN_LEI 9478'!N86*0.03)/0.075</f>
        <v>24.22</v>
      </c>
      <c r="O86" s="111">
        <f>('MUN_LEI 9478'!O86*0.03)/0.075</f>
        <v>0</v>
      </c>
      <c r="P86" s="111">
        <f>('MUN_LEI 9478'!P86*0.03)/0.075</f>
        <v>0</v>
      </c>
      <c r="Q86" s="112">
        <f t="shared" si="1"/>
        <v>54131.90800000001</v>
      </c>
    </row>
    <row r="87" spans="1:17" x14ac:dyDescent="0.15">
      <c r="A87" s="285"/>
      <c r="B87" s="286" t="s">
        <v>5</v>
      </c>
      <c r="C87" s="306">
        <v>0.05</v>
      </c>
      <c r="D87" s="98" t="s">
        <v>6</v>
      </c>
      <c r="E87" s="111">
        <f>'MUN_LEI 9478'!E87</f>
        <v>0</v>
      </c>
      <c r="F87" s="111">
        <f>'MUN_LEI 9478'!F87</f>
        <v>0</v>
      </c>
      <c r="G87" s="111">
        <f>'MUN_LEI 9478'!G87</f>
        <v>0</v>
      </c>
      <c r="H87" s="111">
        <f>'MUN_LEI 9478'!H87</f>
        <v>0</v>
      </c>
      <c r="I87" s="111">
        <f>'MUN_LEI 9478'!I87</f>
        <v>0</v>
      </c>
      <c r="J87" s="111">
        <f>'MUN_LEI 9478'!J87</f>
        <v>0</v>
      </c>
      <c r="K87" s="111">
        <f>'MUN_LEI 9478'!K87</f>
        <v>0</v>
      </c>
      <c r="L87" s="111">
        <f>'MUN_LEI 9478'!L87</f>
        <v>0</v>
      </c>
      <c r="M87" s="111">
        <f>'MUN_LEI 9478'!M87</f>
        <v>0</v>
      </c>
      <c r="N87" s="111">
        <f>'MUN_LEI 9478'!N87</f>
        <v>0</v>
      </c>
      <c r="O87" s="111">
        <f>'MUN_LEI 9478'!O87</f>
        <v>0</v>
      </c>
      <c r="P87" s="111">
        <f>'MUN_LEI 9478'!P87</f>
        <v>0</v>
      </c>
      <c r="Q87" s="112">
        <f t="shared" si="1"/>
        <v>0</v>
      </c>
    </row>
    <row r="88" spans="1:17" x14ac:dyDescent="0.15">
      <c r="A88" s="285"/>
      <c r="B88" s="286"/>
      <c r="C88" s="286"/>
      <c r="D88" s="98" t="s">
        <v>1</v>
      </c>
      <c r="E88" s="111">
        <f>'MUN_LEI 9478'!E88</f>
        <v>276918.09000000003</v>
      </c>
      <c r="F88" s="111">
        <f>'MUN_LEI 9478'!F88</f>
        <v>297943.03999999998</v>
      </c>
      <c r="G88" s="111">
        <f>'MUN_LEI 9478'!G88</f>
        <v>314426.67</v>
      </c>
      <c r="H88" s="111">
        <f>'MUN_LEI 9478'!H88</f>
        <v>243796.72999999998</v>
      </c>
      <c r="I88" s="111">
        <f>'MUN_LEI 9478'!I88</f>
        <v>260203.62999999998</v>
      </c>
      <c r="J88" s="111">
        <f>'MUN_LEI 9478'!J88</f>
        <v>278262.32999999996</v>
      </c>
      <c r="K88" s="111">
        <f>'MUN_LEI 9478'!K88</f>
        <v>315170.71000000002</v>
      </c>
      <c r="L88" s="111">
        <f>'MUN_LEI 9478'!L88</f>
        <v>326323.30999999994</v>
      </c>
      <c r="M88" s="111">
        <f>'MUN_LEI 9478'!M88</f>
        <v>337601.41</v>
      </c>
      <c r="N88" s="111">
        <f>'MUN_LEI 9478'!N88</f>
        <v>381339.01999999996</v>
      </c>
      <c r="O88" s="111">
        <f>'MUN_LEI 9478'!O88</f>
        <v>433643.27</v>
      </c>
      <c r="P88" s="111">
        <f>'MUN_LEI 9478'!P88</f>
        <v>413621.73000000004</v>
      </c>
      <c r="Q88" s="112">
        <f t="shared" si="1"/>
        <v>3879249.94</v>
      </c>
    </row>
    <row r="89" spans="1:17" x14ac:dyDescent="0.15">
      <c r="A89" s="285"/>
      <c r="B89" s="286"/>
      <c r="C89" s="286" t="s">
        <v>2</v>
      </c>
      <c r="D89" s="98" t="s">
        <v>6</v>
      </c>
      <c r="E89" s="111">
        <f>'MUN_LEI 9478'!E89</f>
        <v>0</v>
      </c>
      <c r="F89" s="111">
        <f>'MUN_LEI 9478'!F89</f>
        <v>0</v>
      </c>
      <c r="G89" s="111">
        <f>'MUN_LEI 9478'!G89</f>
        <v>0</v>
      </c>
      <c r="H89" s="111">
        <f>'MUN_LEI 9478'!H89</f>
        <v>0</v>
      </c>
      <c r="I89" s="111">
        <f>'MUN_LEI 9478'!I89</f>
        <v>0</v>
      </c>
      <c r="J89" s="111">
        <f>'MUN_LEI 9478'!J89</f>
        <v>0</v>
      </c>
      <c r="K89" s="111">
        <f>'MUN_LEI 9478'!K89</f>
        <v>0</v>
      </c>
      <c r="L89" s="111">
        <f>'MUN_LEI 9478'!L89</f>
        <v>0</v>
      </c>
      <c r="M89" s="111">
        <f>'MUN_LEI 9478'!M89</f>
        <v>0</v>
      </c>
      <c r="N89" s="111">
        <f>'MUN_LEI 9478'!N89</f>
        <v>0</v>
      </c>
      <c r="O89" s="111">
        <f>'MUN_LEI 9478'!O89</f>
        <v>0</v>
      </c>
      <c r="P89" s="111">
        <f>'MUN_LEI 9478'!P89</f>
        <v>0</v>
      </c>
      <c r="Q89" s="112">
        <f t="shared" si="1"/>
        <v>0</v>
      </c>
    </row>
    <row r="90" spans="1:17" x14ac:dyDescent="0.15">
      <c r="A90" s="285"/>
      <c r="B90" s="286"/>
      <c r="C90" s="286"/>
      <c r="D90" s="98" t="s">
        <v>1</v>
      </c>
      <c r="E90" s="111">
        <f>'MUN_LEI 9478'!E90</f>
        <v>493.18</v>
      </c>
      <c r="F90" s="111">
        <f>'MUN_LEI 9478'!F90</f>
        <v>533.4</v>
      </c>
      <c r="G90" s="111">
        <f>'MUN_LEI 9478'!G90</f>
        <v>900.18</v>
      </c>
      <c r="H90" s="111">
        <f>'MUN_LEI 9478'!H90</f>
        <v>1121.78</v>
      </c>
      <c r="I90" s="111">
        <f>'MUN_LEI 9478'!I90</f>
        <v>932.18999999999994</v>
      </c>
      <c r="J90" s="111">
        <f>'MUN_LEI 9478'!J90</f>
        <v>1122.8800000000001</v>
      </c>
      <c r="K90" s="111">
        <f>'MUN_LEI 9478'!K90</f>
        <v>1207.75</v>
      </c>
      <c r="L90" s="111">
        <f>'MUN_LEI 9478'!L90</f>
        <v>671.23</v>
      </c>
      <c r="M90" s="111">
        <f>'MUN_LEI 9478'!M90</f>
        <v>717.15</v>
      </c>
      <c r="N90" s="111">
        <f>'MUN_LEI 9478'!N90</f>
        <v>249.95</v>
      </c>
      <c r="O90" s="111">
        <f>'MUN_LEI 9478'!O90</f>
        <v>15.99</v>
      </c>
      <c r="P90" s="111">
        <f>'MUN_LEI 9478'!P90</f>
        <v>20.43</v>
      </c>
      <c r="Q90" s="112">
        <f t="shared" si="1"/>
        <v>7986.11</v>
      </c>
    </row>
    <row r="91" spans="1:17" x14ac:dyDescent="0.15">
      <c r="A91" s="285"/>
      <c r="B91" s="307" t="s">
        <v>7</v>
      </c>
      <c r="C91" s="307"/>
      <c r="D91" s="307"/>
      <c r="E91" s="111">
        <v>0</v>
      </c>
      <c r="F91" s="111">
        <v>0</v>
      </c>
      <c r="G91" s="111">
        <v>0</v>
      </c>
      <c r="H91" s="111">
        <v>0</v>
      </c>
      <c r="I91" s="111">
        <v>0</v>
      </c>
      <c r="J91" s="111">
        <v>0</v>
      </c>
      <c r="K91" s="111">
        <v>0</v>
      </c>
      <c r="L91" s="111">
        <v>0</v>
      </c>
      <c r="M91" s="111">
        <v>0</v>
      </c>
      <c r="N91" s="111">
        <v>0</v>
      </c>
      <c r="O91" s="111">
        <v>0</v>
      </c>
      <c r="P91" s="111">
        <v>0</v>
      </c>
      <c r="Q91" s="112">
        <f t="shared" si="1"/>
        <v>0</v>
      </c>
    </row>
    <row r="92" spans="1:17" x14ac:dyDescent="0.15">
      <c r="A92" s="285" t="s">
        <v>17</v>
      </c>
      <c r="B92" s="286" t="s">
        <v>3</v>
      </c>
      <c r="C92" s="306">
        <v>0.05</v>
      </c>
      <c r="D92" s="98" t="s">
        <v>0</v>
      </c>
      <c r="E92" s="111">
        <f>('MUN_LEI 9478'!E92*0.17)/0.3</f>
        <v>0</v>
      </c>
      <c r="F92" s="111">
        <f>('MUN_LEI 9478'!F92*0.17)/0.3</f>
        <v>0</v>
      </c>
      <c r="G92" s="111">
        <f>('MUN_LEI 9478'!G92*0.17)/0.3</f>
        <v>0</v>
      </c>
      <c r="H92" s="111">
        <f>('MUN_LEI 9478'!H92*0.17)/0.3</f>
        <v>0</v>
      </c>
      <c r="I92" s="111">
        <f>('MUN_LEI 9478'!I92*0.17)/0.3</f>
        <v>0</v>
      </c>
      <c r="J92" s="111">
        <f>('MUN_LEI 9478'!J92*0.17)/0.3</f>
        <v>0</v>
      </c>
      <c r="K92" s="111">
        <f>('MUN_LEI 9478'!K92*0.17)/0.3</f>
        <v>0</v>
      </c>
      <c r="L92" s="111">
        <f>('MUN_LEI 9478'!L92*0.17)/0.3</f>
        <v>0</v>
      </c>
      <c r="M92" s="111">
        <f>('MUN_LEI 9478'!M92*0.17)/0.3</f>
        <v>0</v>
      </c>
      <c r="N92" s="111">
        <f>('MUN_LEI 9478'!N92*0.17)/0.3</f>
        <v>0</v>
      </c>
      <c r="O92" s="111">
        <f>('MUN_LEI 9478'!O92*0.17)/0.3</f>
        <v>0</v>
      </c>
      <c r="P92" s="111">
        <f>('MUN_LEI 9478'!P92*0.17)/0.3</f>
        <v>0</v>
      </c>
      <c r="Q92" s="112">
        <f t="shared" si="1"/>
        <v>0</v>
      </c>
    </row>
    <row r="93" spans="1:17" x14ac:dyDescent="0.15">
      <c r="A93" s="285"/>
      <c r="B93" s="286"/>
      <c r="C93" s="286"/>
      <c r="D93" s="98" t="s">
        <v>1</v>
      </c>
      <c r="E93" s="111">
        <f>('MUN_LEI 9478'!E93*0.03)/0.1</f>
        <v>786683.82299999997</v>
      </c>
      <c r="F93" s="111">
        <f>('MUN_LEI 9478'!F93*0.03)/0.1</f>
        <v>899808.28799999994</v>
      </c>
      <c r="G93" s="111">
        <f>('MUN_LEI 9478'!G93*0.03)/0.1</f>
        <v>882160.23299999977</v>
      </c>
      <c r="H93" s="111">
        <f>('MUN_LEI 9478'!H93*0.03)/0.1</f>
        <v>745773.99899999995</v>
      </c>
      <c r="I93" s="111">
        <f>('MUN_LEI 9478'!I93*0.03)/0.1</f>
        <v>822098.27699999989</v>
      </c>
      <c r="J93" s="111">
        <f>('MUN_LEI 9478'!J93*0.03)/0.1</f>
        <v>808941.39599999995</v>
      </c>
      <c r="K93" s="111">
        <f>('MUN_LEI 9478'!K93*0.03)/0.1</f>
        <v>1061383.0889999997</v>
      </c>
      <c r="L93" s="111">
        <f>('MUN_LEI 9478'!L93*0.03)/0.1</f>
        <v>1028298.7799999998</v>
      </c>
      <c r="M93" s="111">
        <f>('MUN_LEI 9478'!M93*0.03)/0.1</f>
        <v>1036440.2400000001</v>
      </c>
      <c r="N93" s="111">
        <f>('MUN_LEI 9478'!N93*0.03)/0.1</f>
        <v>915008.57099999988</v>
      </c>
      <c r="O93" s="111">
        <f>('MUN_LEI 9478'!O93*0.03)/0.1</f>
        <v>1022698.3409999999</v>
      </c>
      <c r="P93" s="111">
        <f>('MUN_LEI 9478'!P93*0.03)/0.1</f>
        <v>1021525.8150000001</v>
      </c>
      <c r="Q93" s="112">
        <f t="shared" si="1"/>
        <v>11030820.851999998</v>
      </c>
    </row>
    <row r="94" spans="1:17" x14ac:dyDescent="0.15">
      <c r="A94" s="285"/>
      <c r="B94" s="286"/>
      <c r="C94" s="286" t="s">
        <v>2</v>
      </c>
      <c r="D94" s="98" t="s">
        <v>0</v>
      </c>
      <c r="E94" s="111">
        <f>('MUN_LEI 9478'!E94*0.17)/0.225</f>
        <v>0</v>
      </c>
      <c r="F94" s="111">
        <f>('MUN_LEI 9478'!F94*0.17)/0.225</f>
        <v>0</v>
      </c>
      <c r="G94" s="111">
        <f>('MUN_LEI 9478'!G94*0.17)/0.225</f>
        <v>0</v>
      </c>
      <c r="H94" s="111">
        <f>('MUN_LEI 9478'!H94*0.17)/0.225</f>
        <v>0</v>
      </c>
      <c r="I94" s="111">
        <f>('MUN_LEI 9478'!I94*0.17)/0.225</f>
        <v>0</v>
      </c>
      <c r="J94" s="111">
        <f>('MUN_LEI 9478'!J94*0.17)/0.225</f>
        <v>0</v>
      </c>
      <c r="K94" s="111">
        <f>('MUN_LEI 9478'!K94*0.17)/0.225</f>
        <v>0</v>
      </c>
      <c r="L94" s="111">
        <f>('MUN_LEI 9478'!L94*0.17)/0.225</f>
        <v>0</v>
      </c>
      <c r="M94" s="111">
        <f>('MUN_LEI 9478'!M94*0.17)/0.225</f>
        <v>0</v>
      </c>
      <c r="N94" s="111">
        <f>('MUN_LEI 9478'!N94*0.17)/0.225</f>
        <v>0</v>
      </c>
      <c r="O94" s="111">
        <f>('MUN_LEI 9478'!O94*0.17)/0.225</f>
        <v>0</v>
      </c>
      <c r="P94" s="111">
        <f>('MUN_LEI 9478'!P94*0.17)/0.225</f>
        <v>0</v>
      </c>
      <c r="Q94" s="112">
        <f t="shared" si="1"/>
        <v>0</v>
      </c>
    </row>
    <row r="95" spans="1:17" x14ac:dyDescent="0.15">
      <c r="A95" s="285"/>
      <c r="B95" s="286"/>
      <c r="C95" s="286"/>
      <c r="D95" s="98" t="s">
        <v>1</v>
      </c>
      <c r="E95" s="111">
        <f>('MUN_LEI 9478'!E95*0.03)/0.075</f>
        <v>328278.93600000005</v>
      </c>
      <c r="F95" s="111">
        <f>('MUN_LEI 9478'!F95*0.03)/0.075</f>
        <v>443206</v>
      </c>
      <c r="G95" s="111">
        <f>('MUN_LEI 9478'!G95*0.03)/0.075</f>
        <v>307152.20400000003</v>
      </c>
      <c r="H95" s="111">
        <f>('MUN_LEI 9478'!H95*0.03)/0.075</f>
        <v>489260.59600000002</v>
      </c>
      <c r="I95" s="111">
        <f>('MUN_LEI 9478'!I95*0.03)/0.075</f>
        <v>396822.18000000005</v>
      </c>
      <c r="J95" s="111">
        <f>('MUN_LEI 9478'!J95*0.03)/0.075</f>
        <v>486249.0720000001</v>
      </c>
      <c r="K95" s="111">
        <f>('MUN_LEI 9478'!K95*0.03)/0.075</f>
        <v>640970.3679999999</v>
      </c>
      <c r="L95" s="111">
        <f>('MUN_LEI 9478'!L95*0.03)/0.075</f>
        <v>658418.92000000016</v>
      </c>
      <c r="M95" s="111">
        <f>('MUN_LEI 9478'!M95*0.03)/0.075</f>
        <v>978808.4639999998</v>
      </c>
      <c r="N95" s="111">
        <f>('MUN_LEI 9478'!N95*0.03)/0.075</f>
        <v>717073.94000000006</v>
      </c>
      <c r="O95" s="111">
        <f>('MUN_LEI 9478'!O95*0.03)/0.075</f>
        <v>1117685.5120000001</v>
      </c>
      <c r="P95" s="111">
        <f>('MUN_LEI 9478'!P95*0.03)/0.075</f>
        <v>995989.97600000002</v>
      </c>
      <c r="Q95" s="112">
        <f t="shared" si="1"/>
        <v>7559916.1680000005</v>
      </c>
    </row>
    <row r="96" spans="1:17" x14ac:dyDescent="0.15">
      <c r="A96" s="285"/>
      <c r="B96" s="286" t="s">
        <v>5</v>
      </c>
      <c r="C96" s="306">
        <v>0.05</v>
      </c>
      <c r="D96" s="98" t="s">
        <v>6</v>
      </c>
      <c r="E96" s="111">
        <f>'MUN_LEI 9478'!E96</f>
        <v>0</v>
      </c>
      <c r="F96" s="111">
        <f>'MUN_LEI 9478'!F96</f>
        <v>0</v>
      </c>
      <c r="G96" s="111">
        <f>'MUN_LEI 9478'!G96</f>
        <v>0</v>
      </c>
      <c r="H96" s="111">
        <f>'MUN_LEI 9478'!H96</f>
        <v>0</v>
      </c>
      <c r="I96" s="111">
        <f>'MUN_LEI 9478'!I96</f>
        <v>0</v>
      </c>
      <c r="J96" s="111">
        <f>'MUN_LEI 9478'!J96</f>
        <v>0</v>
      </c>
      <c r="K96" s="111">
        <f>'MUN_LEI 9478'!K96</f>
        <v>0</v>
      </c>
      <c r="L96" s="111">
        <f>'MUN_LEI 9478'!L96</f>
        <v>0</v>
      </c>
      <c r="M96" s="111">
        <f>'MUN_LEI 9478'!M96</f>
        <v>0</v>
      </c>
      <c r="N96" s="111">
        <f>'MUN_LEI 9478'!N96</f>
        <v>0</v>
      </c>
      <c r="O96" s="111">
        <f>'MUN_LEI 9478'!O96</f>
        <v>0</v>
      </c>
      <c r="P96" s="111">
        <f>'MUN_LEI 9478'!P96</f>
        <v>0</v>
      </c>
      <c r="Q96" s="112">
        <f t="shared" si="1"/>
        <v>0</v>
      </c>
    </row>
    <row r="97" spans="1:17" x14ac:dyDescent="0.15">
      <c r="A97" s="285"/>
      <c r="B97" s="286"/>
      <c r="C97" s="286"/>
      <c r="D97" s="98" t="s">
        <v>1</v>
      </c>
      <c r="E97" s="111">
        <f>'MUN_LEI 9478'!E97</f>
        <v>240798.33000000002</v>
      </c>
      <c r="F97" s="111">
        <f>'MUN_LEI 9478'!F97</f>
        <v>262801.02999999997</v>
      </c>
      <c r="G97" s="111">
        <f>'MUN_LEI 9478'!G97</f>
        <v>276314.34000000003</v>
      </c>
      <c r="H97" s="111">
        <f>'MUN_LEI 9478'!H97</f>
        <v>215861.68</v>
      </c>
      <c r="I97" s="111">
        <f>'MUN_LEI 9478'!I97</f>
        <v>230388.62999999998</v>
      </c>
      <c r="J97" s="111">
        <f>'MUN_LEI 9478'!J97</f>
        <v>245171.66999999995</v>
      </c>
      <c r="K97" s="111">
        <f>'MUN_LEI 9478'!K97</f>
        <v>275568.09999999998</v>
      </c>
      <c r="L97" s="111">
        <f>'MUN_LEI 9478'!L97</f>
        <v>282269.66000000003</v>
      </c>
      <c r="M97" s="111">
        <f>'MUN_LEI 9478'!M97</f>
        <v>292025.21999999997</v>
      </c>
      <c r="N97" s="111">
        <f>'MUN_LEI 9478'!N97</f>
        <v>294275.31999999995</v>
      </c>
      <c r="O97" s="111">
        <f>'MUN_LEI 9478'!O97</f>
        <v>318516.74</v>
      </c>
      <c r="P97" s="111">
        <f>'MUN_LEI 9478'!P97</f>
        <v>294411.96000000002</v>
      </c>
      <c r="Q97" s="112">
        <f t="shared" si="1"/>
        <v>3228402.6799999997</v>
      </c>
    </row>
    <row r="98" spans="1:17" x14ac:dyDescent="0.15">
      <c r="A98" s="285"/>
      <c r="B98" s="286"/>
      <c r="C98" s="286" t="s">
        <v>2</v>
      </c>
      <c r="D98" s="98" t="s">
        <v>6</v>
      </c>
      <c r="E98" s="111">
        <f>'MUN_LEI 9478'!E98</f>
        <v>0</v>
      </c>
      <c r="F98" s="111">
        <f>'MUN_LEI 9478'!F98</f>
        <v>0</v>
      </c>
      <c r="G98" s="111">
        <f>'MUN_LEI 9478'!G98</f>
        <v>0</v>
      </c>
      <c r="H98" s="111">
        <f>'MUN_LEI 9478'!H98</f>
        <v>0</v>
      </c>
      <c r="I98" s="111">
        <f>'MUN_LEI 9478'!I98</f>
        <v>0</v>
      </c>
      <c r="J98" s="111">
        <f>'MUN_LEI 9478'!J98</f>
        <v>0</v>
      </c>
      <c r="K98" s="111">
        <f>'MUN_LEI 9478'!K98</f>
        <v>0</v>
      </c>
      <c r="L98" s="111">
        <f>'MUN_LEI 9478'!L98</f>
        <v>0</v>
      </c>
      <c r="M98" s="111">
        <f>'MUN_LEI 9478'!M98</f>
        <v>0</v>
      </c>
      <c r="N98" s="111">
        <f>'MUN_LEI 9478'!N98</f>
        <v>0</v>
      </c>
      <c r="O98" s="111">
        <f>'MUN_LEI 9478'!O98</f>
        <v>0</v>
      </c>
      <c r="P98" s="111">
        <f>'MUN_LEI 9478'!P98</f>
        <v>0</v>
      </c>
      <c r="Q98" s="112">
        <f t="shared" si="1"/>
        <v>0</v>
      </c>
    </row>
    <row r="99" spans="1:17" x14ac:dyDescent="0.15">
      <c r="A99" s="285"/>
      <c r="B99" s="286"/>
      <c r="C99" s="286"/>
      <c r="D99" s="98" t="s">
        <v>1</v>
      </c>
      <c r="E99" s="111">
        <f>'MUN_LEI 9478'!E99</f>
        <v>102771.23</v>
      </c>
      <c r="F99" s="111">
        <f>'MUN_LEI 9478'!F99</f>
        <v>139712.97</v>
      </c>
      <c r="G99" s="111">
        <f>'MUN_LEI 9478'!G99</f>
        <v>78992.790000000008</v>
      </c>
      <c r="H99" s="111">
        <f>'MUN_LEI 9478'!H99</f>
        <v>58634.9</v>
      </c>
      <c r="I99" s="111">
        <f>'MUN_LEI 9478'!I99</f>
        <v>101718.7</v>
      </c>
      <c r="J99" s="111">
        <f>'MUN_LEI 9478'!J99</f>
        <v>93983.25</v>
      </c>
      <c r="K99" s="111">
        <f>'MUN_LEI 9478'!K99</f>
        <v>193433.61</v>
      </c>
      <c r="L99" s="111">
        <f>'MUN_LEI 9478'!L99</f>
        <v>84955.98000000001</v>
      </c>
      <c r="M99" s="111">
        <f>'MUN_LEI 9478'!M99</f>
        <v>85914.4</v>
      </c>
      <c r="N99" s="111">
        <f>'MUN_LEI 9478'!N99</f>
        <v>114331.05000000002</v>
      </c>
      <c r="O99" s="111">
        <f>'MUN_LEI 9478'!O99</f>
        <v>56463.74</v>
      </c>
      <c r="P99" s="111">
        <f>'MUN_LEI 9478'!P99</f>
        <v>141388.55000000002</v>
      </c>
      <c r="Q99" s="112">
        <f t="shared" si="1"/>
        <v>1252301.1700000002</v>
      </c>
    </row>
    <row r="100" spans="1:17" x14ac:dyDescent="0.15">
      <c r="A100" s="285"/>
      <c r="B100" s="307" t="s">
        <v>7</v>
      </c>
      <c r="C100" s="307"/>
      <c r="D100" s="307"/>
      <c r="E100" s="111">
        <v>0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1">
        <v>0</v>
      </c>
      <c r="N100" s="111">
        <v>0</v>
      </c>
      <c r="O100" s="111">
        <v>0</v>
      </c>
      <c r="P100" s="111">
        <v>0</v>
      </c>
      <c r="Q100" s="112">
        <f t="shared" si="1"/>
        <v>0</v>
      </c>
    </row>
    <row r="101" spans="1:17" x14ac:dyDescent="0.15">
      <c r="A101" s="285" t="s">
        <v>18</v>
      </c>
      <c r="B101" s="286" t="s">
        <v>3</v>
      </c>
      <c r="C101" s="306">
        <v>0.05</v>
      </c>
      <c r="D101" s="98" t="s">
        <v>0</v>
      </c>
      <c r="E101" s="111">
        <f>('MUN_LEI 9478'!E101*0.17)/0.3</f>
        <v>0</v>
      </c>
      <c r="F101" s="111">
        <f>('MUN_LEI 9478'!F101*0.17)/0.3</f>
        <v>0</v>
      </c>
      <c r="G101" s="111">
        <f>('MUN_LEI 9478'!G101*0.17)/0.3</f>
        <v>0</v>
      </c>
      <c r="H101" s="111">
        <f>('MUN_LEI 9478'!H101*0.17)/0.3</f>
        <v>0</v>
      </c>
      <c r="I101" s="111">
        <f>('MUN_LEI 9478'!I101*0.17)/0.3</f>
        <v>0</v>
      </c>
      <c r="J101" s="111">
        <f>('MUN_LEI 9478'!J101*0.17)/0.3</f>
        <v>0</v>
      </c>
      <c r="K101" s="111">
        <f>('MUN_LEI 9478'!K101*0.17)/0.3</f>
        <v>0</v>
      </c>
      <c r="L101" s="111">
        <f>('MUN_LEI 9478'!L101*0.17)/0.3</f>
        <v>0</v>
      </c>
      <c r="M101" s="111">
        <f>('MUN_LEI 9478'!M101*0.17)/0.3</f>
        <v>0</v>
      </c>
      <c r="N101" s="111">
        <f>('MUN_LEI 9478'!N101*0.17)/0.3</f>
        <v>0</v>
      </c>
      <c r="O101" s="111">
        <f>('MUN_LEI 9478'!O101*0.17)/0.3</f>
        <v>0</v>
      </c>
      <c r="P101" s="111">
        <f>('MUN_LEI 9478'!P101*0.17)/0.3</f>
        <v>0</v>
      </c>
      <c r="Q101" s="112">
        <f t="shared" si="1"/>
        <v>0</v>
      </c>
    </row>
    <row r="102" spans="1:17" x14ac:dyDescent="0.15">
      <c r="A102" s="285"/>
      <c r="B102" s="286"/>
      <c r="C102" s="286"/>
      <c r="D102" s="98" t="s">
        <v>1</v>
      </c>
      <c r="E102" s="111">
        <f>('MUN_LEI 9478'!E102*0.03)/0.1</f>
        <v>72172.823999999993</v>
      </c>
      <c r="F102" s="111">
        <f>('MUN_LEI 9478'!F102*0.03)/0.1</f>
        <v>0</v>
      </c>
      <c r="G102" s="111">
        <f>('MUN_LEI 9478'!G102*0.03)/0.1</f>
        <v>0</v>
      </c>
      <c r="H102" s="111">
        <f>('MUN_LEI 9478'!H102*0.03)/0.1</f>
        <v>0</v>
      </c>
      <c r="I102" s="111">
        <f>('MUN_LEI 9478'!I102*0.03)/0.1</f>
        <v>0</v>
      </c>
      <c r="J102" s="111">
        <f>('MUN_LEI 9478'!J102*0.03)/0.1</f>
        <v>52757.04</v>
      </c>
      <c r="K102" s="111">
        <f>('MUN_LEI 9478'!K102*0.03)/0.1</f>
        <v>0</v>
      </c>
      <c r="L102" s="111">
        <f>('MUN_LEI 9478'!L102*0.03)/0.1</f>
        <v>0</v>
      </c>
      <c r="M102" s="111">
        <f>('MUN_LEI 9478'!M102*0.03)/0.1</f>
        <v>0</v>
      </c>
      <c r="N102" s="111">
        <f>('MUN_LEI 9478'!N102*0.03)/0.1</f>
        <v>29516.399999999998</v>
      </c>
      <c r="O102" s="111">
        <f>('MUN_LEI 9478'!O102*0.03)/0.1</f>
        <v>0</v>
      </c>
      <c r="P102" s="111">
        <f>('MUN_LEI 9478'!P102*0.03)/0.1</f>
        <v>0</v>
      </c>
      <c r="Q102" s="112">
        <f t="shared" si="1"/>
        <v>154446.264</v>
      </c>
    </row>
    <row r="103" spans="1:17" x14ac:dyDescent="0.15">
      <c r="A103" s="285"/>
      <c r="B103" s="286"/>
      <c r="C103" s="286" t="s">
        <v>2</v>
      </c>
      <c r="D103" s="98" t="s">
        <v>0</v>
      </c>
      <c r="E103" s="111">
        <f>('MUN_LEI 9478'!E103*0.17)/0.225</f>
        <v>0</v>
      </c>
      <c r="F103" s="111">
        <f>('MUN_LEI 9478'!F103*0.17)/0.225</f>
        <v>0</v>
      </c>
      <c r="G103" s="111">
        <f>('MUN_LEI 9478'!G103*0.17)/0.225</f>
        <v>0</v>
      </c>
      <c r="H103" s="111">
        <f>('MUN_LEI 9478'!H103*0.17)/0.225</f>
        <v>0</v>
      </c>
      <c r="I103" s="111">
        <f>('MUN_LEI 9478'!I103*0.17)/0.225</f>
        <v>0</v>
      </c>
      <c r="J103" s="111">
        <f>('MUN_LEI 9478'!J103*0.17)/0.225</f>
        <v>0</v>
      </c>
      <c r="K103" s="111">
        <f>('MUN_LEI 9478'!K103*0.17)/0.225</f>
        <v>0</v>
      </c>
      <c r="L103" s="111">
        <f>('MUN_LEI 9478'!L103*0.17)/0.225</f>
        <v>0</v>
      </c>
      <c r="M103" s="111">
        <f>('MUN_LEI 9478'!M103*0.17)/0.225</f>
        <v>0</v>
      </c>
      <c r="N103" s="111">
        <f>('MUN_LEI 9478'!N103*0.17)/0.225</f>
        <v>0</v>
      </c>
      <c r="O103" s="111">
        <f>('MUN_LEI 9478'!O103*0.17)/0.225</f>
        <v>0</v>
      </c>
      <c r="P103" s="111">
        <f>('MUN_LEI 9478'!P103*0.17)/0.225</f>
        <v>0</v>
      </c>
      <c r="Q103" s="112">
        <f t="shared" si="1"/>
        <v>0</v>
      </c>
    </row>
    <row r="104" spans="1:17" x14ac:dyDescent="0.15">
      <c r="A104" s="285"/>
      <c r="B104" s="286"/>
      <c r="C104" s="286"/>
      <c r="D104" s="98" t="s">
        <v>1</v>
      </c>
      <c r="E104" s="111">
        <f>('MUN_LEI 9478'!E104*0.03)/0.075</f>
        <v>866.77200000000016</v>
      </c>
      <c r="F104" s="111">
        <f>('MUN_LEI 9478'!F104*0.03)/0.075</f>
        <v>0</v>
      </c>
      <c r="G104" s="111">
        <f>('MUN_LEI 9478'!G104*0.03)/0.075</f>
        <v>0</v>
      </c>
      <c r="H104" s="111">
        <f>('MUN_LEI 9478'!H104*0.03)/0.075</f>
        <v>0</v>
      </c>
      <c r="I104" s="111">
        <f>('MUN_LEI 9478'!I104*0.03)/0.075</f>
        <v>0</v>
      </c>
      <c r="J104" s="111">
        <f>('MUN_LEI 9478'!J104*0.03)/0.075</f>
        <v>8041.4079999999985</v>
      </c>
      <c r="K104" s="111">
        <f>('MUN_LEI 9478'!K104*0.03)/0.075</f>
        <v>0</v>
      </c>
      <c r="L104" s="111">
        <f>('MUN_LEI 9478'!L104*0.03)/0.075</f>
        <v>0</v>
      </c>
      <c r="M104" s="111">
        <f>('MUN_LEI 9478'!M104*0.03)/0.075</f>
        <v>0</v>
      </c>
      <c r="N104" s="111">
        <f>('MUN_LEI 9478'!N104*0.03)/0.075</f>
        <v>2819.3</v>
      </c>
      <c r="O104" s="111">
        <f>('MUN_LEI 9478'!O104*0.03)/0.075</f>
        <v>0</v>
      </c>
      <c r="P104" s="111">
        <f>('MUN_LEI 9478'!P104*0.03)/0.075</f>
        <v>0</v>
      </c>
      <c r="Q104" s="112">
        <f t="shared" si="1"/>
        <v>11727.48</v>
      </c>
    </row>
    <row r="105" spans="1:17" x14ac:dyDescent="0.15">
      <c r="A105" s="285"/>
      <c r="B105" s="286" t="s">
        <v>5</v>
      </c>
      <c r="C105" s="306">
        <v>0.05</v>
      </c>
      <c r="D105" s="98" t="s">
        <v>6</v>
      </c>
      <c r="E105" s="111">
        <f>'MUN_LEI 9478'!E105</f>
        <v>166218.74</v>
      </c>
      <c r="F105" s="111">
        <f>'MUN_LEI 9478'!F105</f>
        <v>186320.78</v>
      </c>
      <c r="G105" s="111">
        <f>'MUN_LEI 9478'!G105</f>
        <v>164050.5</v>
      </c>
      <c r="H105" s="111">
        <f>'MUN_LEI 9478'!H105</f>
        <v>147114.85999999999</v>
      </c>
      <c r="I105" s="111">
        <f>'MUN_LEI 9478'!I105</f>
        <v>146315.19</v>
      </c>
      <c r="J105" s="111">
        <f>'MUN_LEI 9478'!J105</f>
        <v>149996.81</v>
      </c>
      <c r="K105" s="111">
        <f>'MUN_LEI 9478'!K105</f>
        <v>172041.22</v>
      </c>
      <c r="L105" s="111">
        <f>'MUN_LEI 9478'!L105</f>
        <v>203923.78</v>
      </c>
      <c r="M105" s="111">
        <f>'MUN_LEI 9478'!M105</f>
        <v>200033.32</v>
      </c>
      <c r="N105" s="111">
        <f>'MUN_LEI 9478'!N105</f>
        <v>195589.55</v>
      </c>
      <c r="O105" s="111">
        <f>'MUN_LEI 9478'!O105</f>
        <v>204272.73</v>
      </c>
      <c r="P105" s="111">
        <f>'MUN_LEI 9478'!P105</f>
        <v>206164.82</v>
      </c>
      <c r="Q105" s="112">
        <f t="shared" si="1"/>
        <v>2142042.3000000003</v>
      </c>
    </row>
    <row r="106" spans="1:17" x14ac:dyDescent="0.15">
      <c r="A106" s="285"/>
      <c r="B106" s="286"/>
      <c r="C106" s="286"/>
      <c r="D106" s="98" t="s">
        <v>1</v>
      </c>
      <c r="E106" s="111">
        <f>'MUN_LEI 9478'!E106</f>
        <v>0</v>
      </c>
      <c r="F106" s="111">
        <f>'MUN_LEI 9478'!F106</f>
        <v>0</v>
      </c>
      <c r="G106" s="111">
        <f>'MUN_LEI 9478'!G106</f>
        <v>0</v>
      </c>
      <c r="H106" s="111">
        <f>'MUN_LEI 9478'!H106</f>
        <v>0</v>
      </c>
      <c r="I106" s="111">
        <f>'MUN_LEI 9478'!I106</f>
        <v>0</v>
      </c>
      <c r="J106" s="111">
        <f>'MUN_LEI 9478'!J106</f>
        <v>0</v>
      </c>
      <c r="K106" s="111">
        <f>'MUN_LEI 9478'!K106</f>
        <v>0</v>
      </c>
      <c r="L106" s="111">
        <f>'MUN_LEI 9478'!L106</f>
        <v>0</v>
      </c>
      <c r="M106" s="111">
        <f>'MUN_LEI 9478'!M106</f>
        <v>0</v>
      </c>
      <c r="N106" s="111">
        <f>'MUN_LEI 9478'!N106</f>
        <v>0</v>
      </c>
      <c r="O106" s="111">
        <f>'MUN_LEI 9478'!O106</f>
        <v>0</v>
      </c>
      <c r="P106" s="111">
        <f>'MUN_LEI 9478'!P106</f>
        <v>0</v>
      </c>
      <c r="Q106" s="112">
        <f t="shared" si="1"/>
        <v>0</v>
      </c>
    </row>
    <row r="107" spans="1:17" x14ac:dyDescent="0.15">
      <c r="A107" s="285"/>
      <c r="B107" s="286"/>
      <c r="C107" s="286" t="s">
        <v>2</v>
      </c>
      <c r="D107" s="98" t="s">
        <v>6</v>
      </c>
      <c r="E107" s="111">
        <f>'MUN_LEI 9478'!E107</f>
        <v>0</v>
      </c>
      <c r="F107" s="111">
        <f>'MUN_LEI 9478'!F107</f>
        <v>0</v>
      </c>
      <c r="G107" s="111">
        <f>'MUN_LEI 9478'!G107</f>
        <v>0</v>
      </c>
      <c r="H107" s="111">
        <f>'MUN_LEI 9478'!H107</f>
        <v>0</v>
      </c>
      <c r="I107" s="111">
        <f>'MUN_LEI 9478'!I107</f>
        <v>0</v>
      </c>
      <c r="J107" s="111">
        <f>'MUN_LEI 9478'!J107</f>
        <v>0</v>
      </c>
      <c r="K107" s="111">
        <f>'MUN_LEI 9478'!K107</f>
        <v>0</v>
      </c>
      <c r="L107" s="111">
        <f>'MUN_LEI 9478'!L107</f>
        <v>0</v>
      </c>
      <c r="M107" s="111">
        <f>'MUN_LEI 9478'!M107</f>
        <v>0</v>
      </c>
      <c r="N107" s="111">
        <f>'MUN_LEI 9478'!N107</f>
        <v>0</v>
      </c>
      <c r="O107" s="111">
        <f>'MUN_LEI 9478'!O107</f>
        <v>0</v>
      </c>
      <c r="P107" s="111">
        <f>'MUN_LEI 9478'!P107</f>
        <v>0</v>
      </c>
      <c r="Q107" s="112">
        <f t="shared" si="1"/>
        <v>0</v>
      </c>
    </row>
    <row r="108" spans="1:17" x14ac:dyDescent="0.15">
      <c r="A108" s="285"/>
      <c r="B108" s="286"/>
      <c r="C108" s="286"/>
      <c r="D108" s="98" t="s">
        <v>1</v>
      </c>
      <c r="E108" s="111">
        <f>'MUN_LEI 9478'!E108</f>
        <v>0</v>
      </c>
      <c r="F108" s="111">
        <f>'MUN_LEI 9478'!F108</f>
        <v>0</v>
      </c>
      <c r="G108" s="111">
        <f>'MUN_LEI 9478'!G108</f>
        <v>0</v>
      </c>
      <c r="H108" s="111">
        <f>'MUN_LEI 9478'!H108</f>
        <v>0</v>
      </c>
      <c r="I108" s="111">
        <f>'MUN_LEI 9478'!I108</f>
        <v>0</v>
      </c>
      <c r="J108" s="111">
        <f>'MUN_LEI 9478'!J108</f>
        <v>0</v>
      </c>
      <c r="K108" s="111">
        <f>'MUN_LEI 9478'!K108</f>
        <v>0</v>
      </c>
      <c r="L108" s="111">
        <f>'MUN_LEI 9478'!L108</f>
        <v>0</v>
      </c>
      <c r="M108" s="111">
        <f>'MUN_LEI 9478'!M108</f>
        <v>0</v>
      </c>
      <c r="N108" s="111">
        <f>'MUN_LEI 9478'!N108</f>
        <v>0</v>
      </c>
      <c r="O108" s="111">
        <f>'MUN_LEI 9478'!O108</f>
        <v>0</v>
      </c>
      <c r="P108" s="111">
        <f>'MUN_LEI 9478'!P108</f>
        <v>0</v>
      </c>
      <c r="Q108" s="112">
        <f t="shared" si="1"/>
        <v>0</v>
      </c>
    </row>
    <row r="109" spans="1:17" x14ac:dyDescent="0.15">
      <c r="A109" s="285"/>
      <c r="B109" s="307" t="s">
        <v>7</v>
      </c>
      <c r="C109" s="307"/>
      <c r="D109" s="307"/>
      <c r="E109" s="111">
        <v>0</v>
      </c>
      <c r="F109" s="111">
        <v>0</v>
      </c>
      <c r="G109" s="111">
        <v>0</v>
      </c>
      <c r="H109" s="111">
        <v>0</v>
      </c>
      <c r="I109" s="111">
        <v>0</v>
      </c>
      <c r="J109" s="111">
        <v>0</v>
      </c>
      <c r="K109" s="111">
        <v>0</v>
      </c>
      <c r="L109" s="111">
        <v>0</v>
      </c>
      <c r="M109" s="111">
        <v>0</v>
      </c>
      <c r="N109" s="111">
        <v>0</v>
      </c>
      <c r="O109" s="111">
        <v>0</v>
      </c>
      <c r="P109" s="111">
        <v>0</v>
      </c>
      <c r="Q109" s="112">
        <f t="shared" si="1"/>
        <v>0</v>
      </c>
    </row>
    <row r="110" spans="1:17" x14ac:dyDescent="0.15">
      <c r="A110" s="285" t="s">
        <v>19</v>
      </c>
      <c r="B110" s="286" t="s">
        <v>3</v>
      </c>
      <c r="C110" s="306">
        <v>0.05</v>
      </c>
      <c r="D110" s="98" t="s">
        <v>0</v>
      </c>
      <c r="E110" s="111">
        <f>('MUN_LEI 9478'!E110*0.17)/0.3</f>
        <v>90746585.729333341</v>
      </c>
      <c r="F110" s="111">
        <f>('MUN_LEI 9478'!F110*0.17)/0.3</f>
        <v>92724362.119666681</v>
      </c>
      <c r="G110" s="111">
        <f>('MUN_LEI 9478'!G110*0.17)/0.3</f>
        <v>100106147.6286667</v>
      </c>
      <c r="H110" s="111">
        <f>('MUN_LEI 9478'!H110*0.17)/0.3</f>
        <v>85294777.880666673</v>
      </c>
      <c r="I110" s="111">
        <f>('MUN_LEI 9478'!I110*0.17)/0.3</f>
        <v>93854558.618666679</v>
      </c>
      <c r="J110" s="111">
        <f>('MUN_LEI 9478'!J110*0.17)/0.3</f>
        <v>105571063.81466667</v>
      </c>
      <c r="K110" s="111">
        <f>('MUN_LEI 9478'!K110*0.17)/0.3</f>
        <v>124853636.3046667</v>
      </c>
      <c r="L110" s="111">
        <f>('MUN_LEI 9478'!L110*0.17)/0.3</f>
        <v>122413389.54566668</v>
      </c>
      <c r="M110" s="111">
        <f>('MUN_LEI 9478'!M110*0.17)/0.3</f>
        <v>129170878.11033337</v>
      </c>
      <c r="N110" s="111">
        <f>('MUN_LEI 9478'!N110*0.17)/0.3</f>
        <v>120102025.12466668</v>
      </c>
      <c r="O110" s="111">
        <f>('MUN_LEI 9478'!O110*0.17)/0.3</f>
        <v>134456590.51899999</v>
      </c>
      <c r="P110" s="111">
        <f>('MUN_LEI 9478'!P110*0.17)/0.3</f>
        <v>142118877.51833338</v>
      </c>
      <c r="Q110" s="112">
        <f t="shared" si="1"/>
        <v>1341412892.9143336</v>
      </c>
    </row>
    <row r="111" spans="1:17" x14ac:dyDescent="0.15">
      <c r="A111" s="285"/>
      <c r="B111" s="286"/>
      <c r="C111" s="286"/>
      <c r="D111" s="98" t="s">
        <v>1</v>
      </c>
      <c r="E111" s="111">
        <f>('MUN_LEI 9478'!E111*0.03)/0.1</f>
        <v>1003202.2949999998</v>
      </c>
      <c r="F111" s="111">
        <f>('MUN_LEI 9478'!F111*0.03)/0.1</f>
        <v>1203114.426</v>
      </c>
      <c r="G111" s="111">
        <f>('MUN_LEI 9478'!G111*0.03)/0.1</f>
        <v>1534191.7049999996</v>
      </c>
      <c r="H111" s="111">
        <f>('MUN_LEI 9478'!H111*0.03)/0.1</f>
        <v>1297712.4599999997</v>
      </c>
      <c r="I111" s="111">
        <f>('MUN_LEI 9478'!I111*0.03)/0.1</f>
        <v>1431331.8149999999</v>
      </c>
      <c r="J111" s="111">
        <f>('MUN_LEI 9478'!J111*0.03)/0.1</f>
        <v>1392199.8599999999</v>
      </c>
      <c r="K111" s="111">
        <f>('MUN_LEI 9478'!K111*0.03)/0.1</f>
        <v>1851249.5699999994</v>
      </c>
      <c r="L111" s="111">
        <f>('MUN_LEI 9478'!L111*0.03)/0.1</f>
        <v>1569991.872</v>
      </c>
      <c r="M111" s="111">
        <f>('MUN_LEI 9478'!M111*0.03)/0.1</f>
        <v>1579772.3249999997</v>
      </c>
      <c r="N111" s="111">
        <f>('MUN_LEI 9478'!N111*0.03)/0.1</f>
        <v>1347915.8279999997</v>
      </c>
      <c r="O111" s="111">
        <f>('MUN_LEI 9478'!O111*0.03)/0.1</f>
        <v>1547294.8859999997</v>
      </c>
      <c r="P111" s="111">
        <f>('MUN_LEI 9478'!P111*0.03)/0.1</f>
        <v>1529527.8240000003</v>
      </c>
      <c r="Q111" s="112">
        <f t="shared" si="1"/>
        <v>17287504.865999997</v>
      </c>
    </row>
    <row r="112" spans="1:17" x14ac:dyDescent="0.15">
      <c r="A112" s="285"/>
      <c r="B112" s="286"/>
      <c r="C112" s="286" t="s">
        <v>2</v>
      </c>
      <c r="D112" s="98" t="s">
        <v>0</v>
      </c>
      <c r="E112" s="111">
        <f>('MUN_LEI 9478'!E112*0.17)/0.225</f>
        <v>88372407.912000015</v>
      </c>
      <c r="F112" s="111">
        <f>('MUN_LEI 9478'!F112*0.17)/0.225</f>
        <v>90573961.987111121</v>
      </c>
      <c r="G112" s="111">
        <f>('MUN_LEI 9478'!G112*0.17)/0.225</f>
        <v>97955393.622222215</v>
      </c>
      <c r="H112" s="111">
        <f>('MUN_LEI 9478'!H112*0.17)/0.225</f>
        <v>82810718.481777772</v>
      </c>
      <c r="I112" s="111">
        <f>('MUN_LEI 9478'!I112*0.17)/0.225</f>
        <v>90730871.956888899</v>
      </c>
      <c r="J112" s="111">
        <f>('MUN_LEI 9478'!J112*0.17)/0.225</f>
        <v>102444948.66888887</v>
      </c>
      <c r="K112" s="111">
        <f>('MUN_LEI 9478'!K112*0.17)/0.225</f>
        <v>121057610.56444444</v>
      </c>
      <c r="L112" s="111">
        <f>('MUN_LEI 9478'!L112*0.17)/0.225</f>
        <v>118586694.86666667</v>
      </c>
      <c r="M112" s="111">
        <f>('MUN_LEI 9478'!M112*0.17)/0.225</f>
        <v>125907980.33555554</v>
      </c>
      <c r="N112" s="111">
        <f>('MUN_LEI 9478'!N112*0.17)/0.225</f>
        <v>117457112.6928889</v>
      </c>
      <c r="O112" s="111">
        <f>('MUN_LEI 9478'!O112*0.17)/0.225</f>
        <v>131962442.24533336</v>
      </c>
      <c r="P112" s="111">
        <f>('MUN_LEI 9478'!P112*0.17)/0.225</f>
        <v>139194674.03777778</v>
      </c>
      <c r="Q112" s="112">
        <f t="shared" si="1"/>
        <v>1307054817.3715553</v>
      </c>
    </row>
    <row r="113" spans="1:17" x14ac:dyDescent="0.15">
      <c r="A113" s="285"/>
      <c r="B113" s="286"/>
      <c r="C113" s="286"/>
      <c r="D113" s="98" t="s">
        <v>1</v>
      </c>
      <c r="E113" s="111">
        <f>('MUN_LEI 9478'!E113*0.03)/0.075</f>
        <v>7360678.3919999981</v>
      </c>
      <c r="F113" s="111">
        <f>('MUN_LEI 9478'!F113*0.03)/0.075</f>
        <v>9335897.8279999997</v>
      </c>
      <c r="G113" s="111">
        <f>('MUN_LEI 9478'!G113*0.03)/0.075</f>
        <v>8970776.5359999985</v>
      </c>
      <c r="H113" s="111">
        <f>('MUN_LEI 9478'!H113*0.03)/0.075</f>
        <v>6993513.9600000009</v>
      </c>
      <c r="I113" s="111">
        <f>('MUN_LEI 9478'!I113*0.03)/0.075</f>
        <v>8041817.5680000009</v>
      </c>
      <c r="J113" s="111">
        <f>('MUN_LEI 9478'!J113*0.03)/0.075</f>
        <v>8230530.9080000008</v>
      </c>
      <c r="K113" s="111">
        <f>('MUN_LEI 9478'!K113*0.03)/0.075</f>
        <v>8761178.9800000004</v>
      </c>
      <c r="L113" s="111">
        <f>('MUN_LEI 9478'!L113*0.03)/0.075</f>
        <v>8875466.5</v>
      </c>
      <c r="M113" s="111">
        <f>('MUN_LEI 9478'!M113*0.03)/0.075</f>
        <v>9121208.1719999984</v>
      </c>
      <c r="N113" s="111">
        <f>('MUN_LEI 9478'!N113*0.03)/0.075</f>
        <v>8381667.8280000007</v>
      </c>
      <c r="O113" s="111">
        <f>('MUN_LEI 9478'!O113*0.03)/0.075</f>
        <v>9962891.1679999996</v>
      </c>
      <c r="P113" s="111">
        <f>('MUN_LEI 9478'!P113*0.03)/0.075</f>
        <v>11909581.272</v>
      </c>
      <c r="Q113" s="112">
        <f t="shared" si="1"/>
        <v>105945209.112</v>
      </c>
    </row>
    <row r="114" spans="1:17" x14ac:dyDescent="0.15">
      <c r="A114" s="285"/>
      <c r="B114" s="286" t="s">
        <v>5</v>
      </c>
      <c r="C114" s="306">
        <v>0.05</v>
      </c>
      <c r="D114" s="98" t="s">
        <v>6</v>
      </c>
      <c r="E114" s="111">
        <f>'MUN_LEI 9478'!E114</f>
        <v>0</v>
      </c>
      <c r="F114" s="111">
        <f>'MUN_LEI 9478'!F114</f>
        <v>0</v>
      </c>
      <c r="G114" s="111">
        <f>'MUN_LEI 9478'!G114</f>
        <v>0</v>
      </c>
      <c r="H114" s="111">
        <f>'MUN_LEI 9478'!H114</f>
        <v>0</v>
      </c>
      <c r="I114" s="111">
        <f>'MUN_LEI 9478'!I114</f>
        <v>0</v>
      </c>
      <c r="J114" s="111">
        <f>'MUN_LEI 9478'!J114</f>
        <v>0</v>
      </c>
      <c r="K114" s="111">
        <f>'MUN_LEI 9478'!K114</f>
        <v>0</v>
      </c>
      <c r="L114" s="111">
        <f>'MUN_LEI 9478'!L114</f>
        <v>0</v>
      </c>
      <c r="M114" s="111">
        <f>'MUN_LEI 9478'!M114</f>
        <v>0</v>
      </c>
      <c r="N114" s="111">
        <f>'MUN_LEI 9478'!N114</f>
        <v>0</v>
      </c>
      <c r="O114" s="111">
        <f>'MUN_LEI 9478'!O114</f>
        <v>0</v>
      </c>
      <c r="P114" s="111">
        <f>'MUN_LEI 9478'!P114</f>
        <v>0</v>
      </c>
      <c r="Q114" s="112">
        <f t="shared" si="1"/>
        <v>0</v>
      </c>
    </row>
    <row r="115" spans="1:17" x14ac:dyDescent="0.15">
      <c r="A115" s="285"/>
      <c r="B115" s="286"/>
      <c r="C115" s="286"/>
      <c r="D115" s="98" t="s">
        <v>1</v>
      </c>
      <c r="E115" s="111">
        <f>'MUN_LEI 9478'!E115</f>
        <v>24079.83</v>
      </c>
      <c r="F115" s="111">
        <f>'MUN_LEI 9478'!F115</f>
        <v>0</v>
      </c>
      <c r="G115" s="111">
        <f>'MUN_LEI 9478'!G115</f>
        <v>0</v>
      </c>
      <c r="H115" s="111">
        <f>'MUN_LEI 9478'!H115</f>
        <v>0</v>
      </c>
      <c r="I115" s="111">
        <f>'MUN_LEI 9478'!I115</f>
        <v>0</v>
      </c>
      <c r="J115" s="111">
        <f>'MUN_LEI 9478'!J115</f>
        <v>0</v>
      </c>
      <c r="K115" s="111">
        <f>'MUN_LEI 9478'!K115</f>
        <v>0</v>
      </c>
      <c r="L115" s="111">
        <f>'MUN_LEI 9478'!L115</f>
        <v>27737.48</v>
      </c>
      <c r="M115" s="111">
        <f>'MUN_LEI 9478'!M115</f>
        <v>28696.12</v>
      </c>
      <c r="N115" s="111">
        <f>'MUN_LEI 9478'!N115</f>
        <v>29601.66</v>
      </c>
      <c r="O115" s="111">
        <f>'MUN_LEI 9478'!O115</f>
        <v>34537.96</v>
      </c>
      <c r="P115" s="111">
        <f>'MUN_LEI 9478'!P115</f>
        <v>30705.54</v>
      </c>
      <c r="Q115" s="112">
        <f t="shared" si="1"/>
        <v>175358.59</v>
      </c>
    </row>
    <row r="116" spans="1:17" x14ac:dyDescent="0.15">
      <c r="A116" s="285"/>
      <c r="B116" s="286"/>
      <c r="C116" s="286" t="s">
        <v>2</v>
      </c>
      <c r="D116" s="98" t="s">
        <v>6</v>
      </c>
      <c r="E116" s="111">
        <f>'MUN_LEI 9478'!E116</f>
        <v>0</v>
      </c>
      <c r="F116" s="111">
        <f>'MUN_LEI 9478'!F116</f>
        <v>0</v>
      </c>
      <c r="G116" s="111">
        <f>'MUN_LEI 9478'!G116</f>
        <v>0</v>
      </c>
      <c r="H116" s="111">
        <f>'MUN_LEI 9478'!H116</f>
        <v>0</v>
      </c>
      <c r="I116" s="111">
        <f>'MUN_LEI 9478'!I116</f>
        <v>0</v>
      </c>
      <c r="J116" s="111">
        <f>'MUN_LEI 9478'!J116</f>
        <v>0</v>
      </c>
      <c r="K116" s="111">
        <f>'MUN_LEI 9478'!K116</f>
        <v>0</v>
      </c>
      <c r="L116" s="111">
        <f>'MUN_LEI 9478'!L116</f>
        <v>0</v>
      </c>
      <c r="M116" s="111">
        <f>'MUN_LEI 9478'!M116</f>
        <v>0</v>
      </c>
      <c r="N116" s="111">
        <f>'MUN_LEI 9478'!N116</f>
        <v>0</v>
      </c>
      <c r="O116" s="111">
        <f>'MUN_LEI 9478'!O116</f>
        <v>0</v>
      </c>
      <c r="P116" s="111">
        <f>'MUN_LEI 9478'!P116</f>
        <v>0</v>
      </c>
      <c r="Q116" s="112">
        <f t="shared" si="1"/>
        <v>0</v>
      </c>
    </row>
    <row r="117" spans="1:17" x14ac:dyDescent="0.15">
      <c r="A117" s="285"/>
      <c r="B117" s="286"/>
      <c r="C117" s="286"/>
      <c r="D117" s="98" t="s">
        <v>1</v>
      </c>
      <c r="E117" s="111">
        <f>'MUN_LEI 9478'!E117</f>
        <v>3.22</v>
      </c>
      <c r="F117" s="111">
        <f>'MUN_LEI 9478'!F117</f>
        <v>0</v>
      </c>
      <c r="G117" s="111">
        <f>'MUN_LEI 9478'!G117</f>
        <v>0</v>
      </c>
      <c r="H117" s="111">
        <f>'MUN_LEI 9478'!H117</f>
        <v>0</v>
      </c>
      <c r="I117" s="111">
        <f>'MUN_LEI 9478'!I117</f>
        <v>0</v>
      </c>
      <c r="J117" s="111">
        <f>'MUN_LEI 9478'!J117</f>
        <v>0</v>
      </c>
      <c r="K117" s="111">
        <f>'MUN_LEI 9478'!K117</f>
        <v>0</v>
      </c>
      <c r="L117" s="111">
        <f>'MUN_LEI 9478'!L117</f>
        <v>1.26</v>
      </c>
      <c r="M117" s="111">
        <f>'MUN_LEI 9478'!M117</f>
        <v>1.99</v>
      </c>
      <c r="N117" s="111">
        <f>'MUN_LEI 9478'!N117</f>
        <v>1.86</v>
      </c>
      <c r="O117" s="111">
        <f>'MUN_LEI 9478'!O117</f>
        <v>3.62</v>
      </c>
      <c r="P117" s="111">
        <f>'MUN_LEI 9478'!P117</f>
        <v>0.75</v>
      </c>
      <c r="Q117" s="112">
        <f t="shared" si="1"/>
        <v>12.7</v>
      </c>
    </row>
    <row r="118" spans="1:17" x14ac:dyDescent="0.15">
      <c r="A118" s="285"/>
      <c r="B118" s="307" t="s">
        <v>7</v>
      </c>
      <c r="C118" s="307"/>
      <c r="D118" s="307"/>
      <c r="E118" s="111">
        <v>0</v>
      </c>
      <c r="F118" s="111">
        <v>0</v>
      </c>
      <c r="G118" s="111">
        <v>0</v>
      </c>
      <c r="H118" s="111">
        <v>0</v>
      </c>
      <c r="I118" s="111">
        <v>0</v>
      </c>
      <c r="J118" s="111">
        <v>0</v>
      </c>
      <c r="K118" s="111">
        <v>0</v>
      </c>
      <c r="L118" s="111">
        <v>0</v>
      </c>
      <c r="M118" s="111">
        <v>0</v>
      </c>
      <c r="N118" s="111">
        <v>0</v>
      </c>
      <c r="O118" s="111">
        <v>0</v>
      </c>
      <c r="P118" s="111">
        <v>0</v>
      </c>
      <c r="Q118" s="112">
        <f t="shared" si="1"/>
        <v>0</v>
      </c>
    </row>
    <row r="119" spans="1:17" x14ac:dyDescent="0.15">
      <c r="A119" s="285" t="s">
        <v>24</v>
      </c>
      <c r="B119" s="286" t="s">
        <v>3</v>
      </c>
      <c r="C119" s="306">
        <v>0.05</v>
      </c>
      <c r="D119" s="98" t="s">
        <v>0</v>
      </c>
      <c r="E119" s="111">
        <f>('MUN_LEI 9478'!E119*0.17)/0.3</f>
        <v>323815.473</v>
      </c>
      <c r="F119" s="111">
        <f>('MUN_LEI 9478'!F119*0.17)/0.3</f>
        <v>344405.2666666666</v>
      </c>
      <c r="G119" s="111">
        <f>('MUN_LEI 9478'!G119*0.17)/0.3</f>
        <v>357348.32433333324</v>
      </c>
      <c r="H119" s="111">
        <f>('MUN_LEI 9478'!H119*0.17)/0.3</f>
        <v>305715.86766666675</v>
      </c>
      <c r="I119" s="111">
        <f>('MUN_LEI 9478'!I119*0.17)/0.3</f>
        <v>355575.5756666665</v>
      </c>
      <c r="J119" s="111">
        <f>('MUN_LEI 9478'!J119*0.17)/0.3</f>
        <v>378576.01466666686</v>
      </c>
      <c r="K119" s="111">
        <f>('MUN_LEI 9478'!K119*0.17)/0.3</f>
        <v>449516.86166666693</v>
      </c>
      <c r="L119" s="111">
        <f>('MUN_LEI 9478'!L119*0.17)/0.3</f>
        <v>429993.42700000032</v>
      </c>
      <c r="M119" s="111">
        <f>('MUN_LEI 9478'!M119*0.17)/0.3</f>
        <v>388268.76866666693</v>
      </c>
      <c r="N119" s="111">
        <f>('MUN_LEI 9478'!N119*0.17)/0.3</f>
        <v>360546.93099999992</v>
      </c>
      <c r="O119" s="111">
        <f>('MUN_LEI 9478'!O119*0.17)/0.3</f>
        <v>405375.79499999981</v>
      </c>
      <c r="P119" s="111">
        <f>('MUN_LEI 9478'!P119*0.17)/0.3</f>
        <v>408203.2463333332</v>
      </c>
      <c r="Q119" s="112">
        <f t="shared" si="1"/>
        <v>4507341.5516666668</v>
      </c>
    </row>
    <row r="120" spans="1:17" x14ac:dyDescent="0.15">
      <c r="A120" s="285"/>
      <c r="B120" s="286"/>
      <c r="C120" s="286"/>
      <c r="D120" s="98" t="s">
        <v>1</v>
      </c>
      <c r="E120" s="111">
        <f>('MUN_LEI 9478'!E120*0.03)/0.1</f>
        <v>3543685.8930000002</v>
      </c>
      <c r="F120" s="111">
        <f>('MUN_LEI 9478'!F120*0.03)/0.1</f>
        <v>3818287.716</v>
      </c>
      <c r="G120" s="111">
        <f>('MUN_LEI 9478'!G120*0.03)/0.1</f>
        <v>3797124.5459999987</v>
      </c>
      <c r="H120" s="111">
        <f>('MUN_LEI 9478'!H120*0.03)/0.1</f>
        <v>3393764.5770000005</v>
      </c>
      <c r="I120" s="111">
        <f>('MUN_LEI 9478'!I120*0.03)/0.1</f>
        <v>3728802.9990000008</v>
      </c>
      <c r="J120" s="111">
        <f>('MUN_LEI 9478'!J120*0.03)/0.1</f>
        <v>3915745.4039999996</v>
      </c>
      <c r="K120" s="111">
        <f>('MUN_LEI 9478'!K120*0.03)/0.1</f>
        <v>4763882.294999999</v>
      </c>
      <c r="L120" s="111">
        <f>('MUN_LEI 9478'!L120*0.03)/0.1</f>
        <v>4664069.5560000017</v>
      </c>
      <c r="M120" s="111">
        <f>('MUN_LEI 9478'!M120*0.03)/0.1</f>
        <v>4716488.0999999987</v>
      </c>
      <c r="N120" s="111">
        <f>('MUN_LEI 9478'!N120*0.03)/0.1</f>
        <v>4437299.7689999994</v>
      </c>
      <c r="O120" s="111">
        <f>('MUN_LEI 9478'!O120*0.03)/0.1</f>
        <v>4721369.1030000011</v>
      </c>
      <c r="P120" s="111">
        <f>('MUN_LEI 9478'!P120*0.03)/0.1</f>
        <v>4809454.0770000014</v>
      </c>
      <c r="Q120" s="112">
        <f t="shared" si="1"/>
        <v>50309974.035000004</v>
      </c>
    </row>
    <row r="121" spans="1:17" x14ac:dyDescent="0.15">
      <c r="A121" s="285"/>
      <c r="B121" s="286"/>
      <c r="C121" s="286" t="s">
        <v>2</v>
      </c>
      <c r="D121" s="98" t="s">
        <v>0</v>
      </c>
      <c r="E121" s="111">
        <f>('MUN_LEI 9478'!E121*0.17)/0.225</f>
        <v>303389.53288888891</v>
      </c>
      <c r="F121" s="111">
        <f>('MUN_LEI 9478'!F121*0.17)/0.225</f>
        <v>323159.1351111111</v>
      </c>
      <c r="G121" s="111">
        <f>('MUN_LEI 9478'!G121*0.17)/0.225</f>
        <v>335763.98533333337</v>
      </c>
      <c r="H121" s="111">
        <f>('MUN_LEI 9478'!H121*0.17)/0.225</f>
        <v>287826.60711111117</v>
      </c>
      <c r="I121" s="111">
        <f>('MUN_LEI 9478'!I121*0.17)/0.225</f>
        <v>335577.39333333331</v>
      </c>
      <c r="J121" s="111">
        <f>('MUN_LEI 9478'!J121*0.17)/0.225</f>
        <v>358836.21155555558</v>
      </c>
      <c r="K121" s="111">
        <f>('MUN_LEI 9478'!K121*0.17)/0.225</f>
        <v>425565.69955555553</v>
      </c>
      <c r="L121" s="111">
        <f>('MUN_LEI 9478'!L121*0.17)/0.225</f>
        <v>409306.55200000003</v>
      </c>
      <c r="M121" s="111">
        <f>('MUN_LEI 9478'!M121*0.17)/0.225</f>
        <v>367875.92</v>
      </c>
      <c r="N121" s="111">
        <f>('MUN_LEI 9478'!N121*0.17)/0.225</f>
        <v>340419.45422222221</v>
      </c>
      <c r="O121" s="111">
        <f>('MUN_LEI 9478'!O121*0.17)/0.225</f>
        <v>383727.66444444441</v>
      </c>
      <c r="P121" s="111">
        <f>('MUN_LEI 9478'!P121*0.17)/0.225</f>
        <v>386712.6151111112</v>
      </c>
      <c r="Q121" s="112">
        <f t="shared" si="1"/>
        <v>4258160.7706666663</v>
      </c>
    </row>
    <row r="122" spans="1:17" x14ac:dyDescent="0.15">
      <c r="A122" s="285"/>
      <c r="B122" s="286"/>
      <c r="C122" s="286"/>
      <c r="D122" s="98" t="s">
        <v>1</v>
      </c>
      <c r="E122" s="111">
        <f>('MUN_LEI 9478'!E122*0.03)/0.075</f>
        <v>102709.1</v>
      </c>
      <c r="F122" s="111">
        <f>('MUN_LEI 9478'!F122*0.03)/0.075</f>
        <v>113762.432</v>
      </c>
      <c r="G122" s="111">
        <f>('MUN_LEI 9478'!G122*0.03)/0.075</f>
        <v>123152.87200000002</v>
      </c>
      <c r="H122" s="111">
        <f>('MUN_LEI 9478'!H122*0.03)/0.075</f>
        <v>103080.01200000002</v>
      </c>
      <c r="I122" s="111">
        <f>('MUN_LEI 9478'!I122*0.03)/0.075</f>
        <v>127255.83999999998</v>
      </c>
      <c r="J122" s="111">
        <f>('MUN_LEI 9478'!J122*0.03)/0.075</f>
        <v>144945.88399999999</v>
      </c>
      <c r="K122" s="111">
        <f>('MUN_LEI 9478'!K122*0.03)/0.075</f>
        <v>171400.02000000002</v>
      </c>
      <c r="L122" s="111">
        <f>('MUN_LEI 9478'!L122*0.03)/0.075</f>
        <v>153540.85199999998</v>
      </c>
      <c r="M122" s="111">
        <f>('MUN_LEI 9478'!M122*0.03)/0.075</f>
        <v>145906.84</v>
      </c>
      <c r="N122" s="111">
        <f>('MUN_LEI 9478'!N122*0.03)/0.075</f>
        <v>135783.79199999999</v>
      </c>
      <c r="O122" s="111">
        <f>('MUN_LEI 9478'!O122*0.03)/0.075</f>
        <v>159635.492</v>
      </c>
      <c r="P122" s="111">
        <f>('MUN_LEI 9478'!P122*0.03)/0.075</f>
        <v>146166.85999999999</v>
      </c>
      <c r="Q122" s="112">
        <f t="shared" si="1"/>
        <v>1627339.9959999998</v>
      </c>
    </row>
    <row r="123" spans="1:17" x14ac:dyDescent="0.15">
      <c r="A123" s="285"/>
      <c r="B123" s="286" t="s">
        <v>5</v>
      </c>
      <c r="C123" s="306">
        <v>0.05</v>
      </c>
      <c r="D123" s="98" t="s">
        <v>6</v>
      </c>
      <c r="E123" s="111">
        <f>'MUN_LEI 9478'!E123</f>
        <v>2071250.1700000002</v>
      </c>
      <c r="F123" s="111">
        <f>'MUN_LEI 9478'!F123</f>
        <v>2171330.85</v>
      </c>
      <c r="G123" s="111">
        <f>'MUN_LEI 9478'!G123</f>
        <v>2315545.7499999995</v>
      </c>
      <c r="H123" s="111">
        <f>'MUN_LEI 9478'!H123</f>
        <v>1967251.58</v>
      </c>
      <c r="I123" s="111">
        <f>'MUN_LEI 9478'!I123</f>
        <v>2173747.5300000003</v>
      </c>
      <c r="J123" s="111">
        <f>'MUN_LEI 9478'!J123</f>
        <v>2339143.4500000007</v>
      </c>
      <c r="K123" s="111">
        <f>'MUN_LEI 9478'!K123</f>
        <v>2754319.7500000005</v>
      </c>
      <c r="L123" s="111">
        <f>'MUN_LEI 9478'!L123</f>
        <v>2719952.3300000005</v>
      </c>
      <c r="M123" s="111">
        <f>'MUN_LEI 9478'!M123</f>
        <v>2893224.68</v>
      </c>
      <c r="N123" s="111">
        <f>'MUN_LEI 9478'!N123</f>
        <v>2654371.2400000007</v>
      </c>
      <c r="O123" s="111">
        <f>'MUN_LEI 9478'!O123</f>
        <v>3082528.5799999996</v>
      </c>
      <c r="P123" s="111">
        <f>'MUN_LEI 9478'!P123</f>
        <v>3091158.26</v>
      </c>
      <c r="Q123" s="112">
        <f t="shared" si="1"/>
        <v>30233824.170000002</v>
      </c>
    </row>
    <row r="124" spans="1:17" x14ac:dyDescent="0.15">
      <c r="A124" s="285"/>
      <c r="B124" s="286"/>
      <c r="C124" s="286"/>
      <c r="D124" s="98" t="s">
        <v>1</v>
      </c>
      <c r="E124" s="111">
        <f>'MUN_LEI 9478'!E124</f>
        <v>1023392.9999999995</v>
      </c>
      <c r="F124" s="111">
        <f>'MUN_LEI 9478'!F124</f>
        <v>1077178.75</v>
      </c>
      <c r="G124" s="111">
        <f>'MUN_LEI 9478'!G124</f>
        <v>1105257.4200000004</v>
      </c>
      <c r="H124" s="111">
        <f>'MUN_LEI 9478'!H124</f>
        <v>899000.48999999964</v>
      </c>
      <c r="I124" s="111">
        <f>'MUN_LEI 9478'!I124</f>
        <v>959500.88999999966</v>
      </c>
      <c r="J124" s="111">
        <f>'MUN_LEI 9478'!J124</f>
        <v>1033330.95</v>
      </c>
      <c r="K124" s="111">
        <f>'MUN_LEI 9478'!K124</f>
        <v>1183127.7899999996</v>
      </c>
      <c r="L124" s="111">
        <f>'MUN_LEI 9478'!L124</f>
        <v>1243291.8299999996</v>
      </c>
      <c r="M124" s="111">
        <f>'MUN_LEI 9478'!M124</f>
        <v>1286261.3700000003</v>
      </c>
      <c r="N124" s="111">
        <f>'MUN_LEI 9478'!N124</f>
        <v>1274612.6100000001</v>
      </c>
      <c r="O124" s="111">
        <f>'MUN_LEI 9478'!O124</f>
        <v>1300929.8099999996</v>
      </c>
      <c r="P124" s="111">
        <f>'MUN_LEI 9478'!P124</f>
        <v>1240865.19</v>
      </c>
      <c r="Q124" s="112">
        <f t="shared" si="1"/>
        <v>13626750.1</v>
      </c>
    </row>
    <row r="125" spans="1:17" x14ac:dyDescent="0.15">
      <c r="A125" s="285"/>
      <c r="B125" s="286"/>
      <c r="C125" s="286" t="s">
        <v>2</v>
      </c>
      <c r="D125" s="98" t="s">
        <v>6</v>
      </c>
      <c r="E125" s="111">
        <f>'MUN_LEI 9478'!E125</f>
        <v>1315116.07</v>
      </c>
      <c r="F125" s="111">
        <f>'MUN_LEI 9478'!F125</f>
        <v>1380323.6700000002</v>
      </c>
      <c r="G125" s="111">
        <f>'MUN_LEI 9478'!G125</f>
        <v>1465956.8200000003</v>
      </c>
      <c r="H125" s="111">
        <f>'MUN_LEI 9478'!H125</f>
        <v>1243020.9899999998</v>
      </c>
      <c r="I125" s="111">
        <f>'MUN_LEI 9478'!I125</f>
        <v>1370716.08</v>
      </c>
      <c r="J125" s="111">
        <f>'MUN_LEI 9478'!J125</f>
        <v>1472862.8199999998</v>
      </c>
      <c r="K125" s="111">
        <f>'MUN_LEI 9478'!K125</f>
        <v>1732817.8</v>
      </c>
      <c r="L125" s="111">
        <f>'MUN_LEI 9478'!L125</f>
        <v>1700677.6900000002</v>
      </c>
      <c r="M125" s="111">
        <f>'MUN_LEI 9478'!M125</f>
        <v>1805436.7199999995</v>
      </c>
      <c r="N125" s="111">
        <f>'MUN_LEI 9478'!N125</f>
        <v>1677353.7900000005</v>
      </c>
      <c r="O125" s="111">
        <f>'MUN_LEI 9478'!O125</f>
        <v>1943281.47</v>
      </c>
      <c r="P125" s="111">
        <f>'MUN_LEI 9478'!P125</f>
        <v>1942601.37</v>
      </c>
      <c r="Q125" s="112">
        <f t="shared" si="1"/>
        <v>19050165.290000003</v>
      </c>
    </row>
    <row r="126" spans="1:17" x14ac:dyDescent="0.15">
      <c r="A126" s="285"/>
      <c r="B126" s="286"/>
      <c r="C126" s="286"/>
      <c r="D126" s="98" t="s">
        <v>1</v>
      </c>
      <c r="E126" s="111">
        <f>'MUN_LEI 9478'!E126</f>
        <v>642105.87999999989</v>
      </c>
      <c r="F126" s="111">
        <f>'MUN_LEI 9478'!F126</f>
        <v>649860.91</v>
      </c>
      <c r="G126" s="111">
        <f>'MUN_LEI 9478'!G126</f>
        <v>785913.3899999999</v>
      </c>
      <c r="H126" s="111">
        <f>'MUN_LEI 9478'!H126</f>
        <v>680627.91999999993</v>
      </c>
      <c r="I126" s="111">
        <f>'MUN_LEI 9478'!I126</f>
        <v>710738.76</v>
      </c>
      <c r="J126" s="111">
        <f>'MUN_LEI 9478'!J126</f>
        <v>787076.36</v>
      </c>
      <c r="K126" s="111">
        <f>'MUN_LEI 9478'!K126</f>
        <v>886680.46999999986</v>
      </c>
      <c r="L126" s="111">
        <f>'MUN_LEI 9478'!L126</f>
        <v>804682.77999999991</v>
      </c>
      <c r="M126" s="111">
        <f>'MUN_LEI 9478'!M126</f>
        <v>862570.95</v>
      </c>
      <c r="N126" s="111">
        <f>'MUN_LEI 9478'!N126</f>
        <v>721490.72999999986</v>
      </c>
      <c r="O126" s="111">
        <f>'MUN_LEI 9478'!O126</f>
        <v>904285.74</v>
      </c>
      <c r="P126" s="111">
        <f>'MUN_LEI 9478'!P126</f>
        <v>888686.63000000012</v>
      </c>
      <c r="Q126" s="112">
        <f t="shared" si="1"/>
        <v>9324720.5199999996</v>
      </c>
    </row>
    <row r="127" spans="1:17" x14ac:dyDescent="0.15">
      <c r="A127" s="285"/>
      <c r="B127" s="307" t="s">
        <v>7</v>
      </c>
      <c r="C127" s="307"/>
      <c r="D127" s="307"/>
      <c r="E127" s="111">
        <v>0</v>
      </c>
      <c r="F127" s="111">
        <v>0</v>
      </c>
      <c r="G127" s="111">
        <v>0</v>
      </c>
      <c r="H127" s="111">
        <v>0</v>
      </c>
      <c r="I127" s="111">
        <v>0</v>
      </c>
      <c r="J127" s="111">
        <v>0</v>
      </c>
      <c r="K127" s="111">
        <v>0</v>
      </c>
      <c r="L127" s="111">
        <v>0</v>
      </c>
      <c r="M127" s="111">
        <v>0</v>
      </c>
      <c r="N127" s="111">
        <v>0</v>
      </c>
      <c r="O127" s="111">
        <v>0</v>
      </c>
      <c r="P127" s="111">
        <v>0</v>
      </c>
      <c r="Q127" s="112">
        <f t="shared" si="1"/>
        <v>0</v>
      </c>
    </row>
    <row r="128" spans="1:17" x14ac:dyDescent="0.15">
      <c r="A128" s="285" t="s">
        <v>20</v>
      </c>
      <c r="B128" s="286" t="s">
        <v>3</v>
      </c>
      <c r="C128" s="306">
        <v>0.05</v>
      </c>
      <c r="D128" s="98" t="s">
        <v>0</v>
      </c>
      <c r="E128" s="111">
        <f>('MUN_LEI 9478'!E128*0.17)/0.3</f>
        <v>0</v>
      </c>
      <c r="F128" s="111">
        <f>('MUN_LEI 9478'!F128*0.17)/0.3</f>
        <v>0</v>
      </c>
      <c r="G128" s="111">
        <f>('MUN_LEI 9478'!G128*0.17)/0.3</f>
        <v>0</v>
      </c>
      <c r="H128" s="111">
        <f>('MUN_LEI 9478'!H128*0.17)/0.3</f>
        <v>0</v>
      </c>
      <c r="I128" s="111">
        <f>('MUN_LEI 9478'!I128*0.17)/0.3</f>
        <v>0</v>
      </c>
      <c r="J128" s="111">
        <f>('MUN_LEI 9478'!J128*0.17)/0.3</f>
        <v>0</v>
      </c>
      <c r="K128" s="111">
        <f>('MUN_LEI 9478'!K128*0.17)/0.3</f>
        <v>0</v>
      </c>
      <c r="L128" s="111">
        <f>('MUN_LEI 9478'!L128*0.17)/0.3</f>
        <v>0</v>
      </c>
      <c r="M128" s="111">
        <f>('MUN_LEI 9478'!M128*0.17)/0.3</f>
        <v>0</v>
      </c>
      <c r="N128" s="111">
        <f>('MUN_LEI 9478'!N128*0.17)/0.3</f>
        <v>0</v>
      </c>
      <c r="O128" s="111">
        <f>('MUN_LEI 9478'!O128*0.17)/0.3</f>
        <v>0</v>
      </c>
      <c r="P128" s="111">
        <f>('MUN_LEI 9478'!P128*0.17)/0.3</f>
        <v>0</v>
      </c>
      <c r="Q128" s="112">
        <f t="shared" si="1"/>
        <v>0</v>
      </c>
    </row>
    <row r="129" spans="1:17" x14ac:dyDescent="0.15">
      <c r="A129" s="285"/>
      <c r="B129" s="286"/>
      <c r="C129" s="286"/>
      <c r="D129" s="98" t="s">
        <v>1</v>
      </c>
      <c r="E129" s="111">
        <f>('MUN_LEI 9478'!E129*0.03)/0.1</f>
        <v>584599.90199999989</v>
      </c>
      <c r="F129" s="111">
        <f>('MUN_LEI 9478'!F129*0.03)/0.1</f>
        <v>481919.80499999993</v>
      </c>
      <c r="G129" s="111">
        <f>('MUN_LEI 9478'!G129*0.03)/0.1</f>
        <v>498612.31199999998</v>
      </c>
      <c r="H129" s="111">
        <f>('MUN_LEI 9478'!H129*0.03)/0.1</f>
        <v>453378.02999999991</v>
      </c>
      <c r="I129" s="111">
        <f>('MUN_LEI 9478'!I129*0.03)/0.1</f>
        <v>499131.10200000001</v>
      </c>
      <c r="J129" s="111">
        <f>('MUN_LEI 9478'!J129*0.03)/0.1</f>
        <v>609636.98399999994</v>
      </c>
      <c r="K129" s="111">
        <f>('MUN_LEI 9478'!K129*0.03)/0.1</f>
        <v>592399.86899999995</v>
      </c>
      <c r="L129" s="111">
        <f>('MUN_LEI 9478'!L129*0.03)/0.1</f>
        <v>578418.07199999981</v>
      </c>
      <c r="M129" s="111">
        <f>('MUN_LEI 9478'!M129*0.03)/0.1</f>
        <v>584424.46499999997</v>
      </c>
      <c r="N129" s="111">
        <f>('MUN_LEI 9478'!N129*0.03)/0.1</f>
        <v>688716.11399999994</v>
      </c>
      <c r="O129" s="111">
        <f>('MUN_LEI 9478'!O129*0.03)/0.1</f>
        <v>582885.07199999993</v>
      </c>
      <c r="P129" s="111">
        <f>('MUN_LEI 9478'!P129*0.03)/0.1</f>
        <v>828264.19499999995</v>
      </c>
      <c r="Q129" s="112">
        <f t="shared" si="1"/>
        <v>6982385.9219999993</v>
      </c>
    </row>
    <row r="130" spans="1:17" x14ac:dyDescent="0.15">
      <c r="A130" s="285"/>
      <c r="B130" s="286"/>
      <c r="C130" s="286" t="s">
        <v>2</v>
      </c>
      <c r="D130" s="98" t="s">
        <v>0</v>
      </c>
      <c r="E130" s="111">
        <f>('MUN_LEI 9478'!E130*0.17)/0.225</f>
        <v>0</v>
      </c>
      <c r="F130" s="111">
        <f>('MUN_LEI 9478'!F130*0.17)/0.225</f>
        <v>0</v>
      </c>
      <c r="G130" s="111">
        <f>('MUN_LEI 9478'!G130*0.17)/0.225</f>
        <v>0</v>
      </c>
      <c r="H130" s="111">
        <f>('MUN_LEI 9478'!H130*0.17)/0.225</f>
        <v>0</v>
      </c>
      <c r="I130" s="111">
        <f>('MUN_LEI 9478'!I130*0.17)/0.225</f>
        <v>0</v>
      </c>
      <c r="J130" s="111">
        <f>('MUN_LEI 9478'!J130*0.17)/0.225</f>
        <v>0</v>
      </c>
      <c r="K130" s="111">
        <f>('MUN_LEI 9478'!K130*0.17)/0.225</f>
        <v>0</v>
      </c>
      <c r="L130" s="111">
        <f>('MUN_LEI 9478'!L130*0.17)/0.225</f>
        <v>0</v>
      </c>
      <c r="M130" s="111">
        <f>('MUN_LEI 9478'!M130*0.17)/0.225</f>
        <v>0</v>
      </c>
      <c r="N130" s="111">
        <f>('MUN_LEI 9478'!N130*0.17)/0.225</f>
        <v>0</v>
      </c>
      <c r="O130" s="111">
        <f>('MUN_LEI 9478'!O130*0.17)/0.225</f>
        <v>0</v>
      </c>
      <c r="P130" s="111">
        <f>('MUN_LEI 9478'!P130*0.17)/0.225</f>
        <v>0</v>
      </c>
      <c r="Q130" s="112">
        <f t="shared" si="1"/>
        <v>0</v>
      </c>
    </row>
    <row r="131" spans="1:17" x14ac:dyDescent="0.15">
      <c r="A131" s="285"/>
      <c r="B131" s="286"/>
      <c r="C131" s="286"/>
      <c r="D131" s="98" t="s">
        <v>1</v>
      </c>
      <c r="E131" s="111">
        <f>('MUN_LEI 9478'!E131*0.03)/0.075</f>
        <v>2373267.0440000002</v>
      </c>
      <c r="F131" s="111">
        <f>('MUN_LEI 9478'!F131*0.03)/0.075</f>
        <v>1374921.3400000003</v>
      </c>
      <c r="G131" s="111">
        <f>('MUN_LEI 9478'!G131*0.03)/0.075</f>
        <v>2459173.5239999997</v>
      </c>
      <c r="H131" s="111">
        <f>('MUN_LEI 9478'!H131*0.03)/0.075</f>
        <v>1701280.7719999999</v>
      </c>
      <c r="I131" s="111">
        <f>('MUN_LEI 9478'!I131*0.03)/0.075</f>
        <v>1404064.9280000001</v>
      </c>
      <c r="J131" s="111">
        <f>('MUN_LEI 9478'!J131*0.03)/0.075</f>
        <v>2214881.2319999998</v>
      </c>
      <c r="K131" s="111">
        <f>('MUN_LEI 9478'!K131*0.03)/0.075</f>
        <v>2197811.2480000001</v>
      </c>
      <c r="L131" s="111">
        <f>('MUN_LEI 9478'!L131*0.03)/0.075</f>
        <v>2288558.4720000001</v>
      </c>
      <c r="M131" s="111">
        <f>('MUN_LEI 9478'!M131*0.03)/0.075</f>
        <v>2170301.1680000001</v>
      </c>
      <c r="N131" s="111">
        <f>('MUN_LEI 9478'!N131*0.03)/0.075</f>
        <v>3010826.1680000001</v>
      </c>
      <c r="O131" s="111">
        <f>('MUN_LEI 9478'!O131*0.03)/0.075</f>
        <v>2057416.0719999997</v>
      </c>
      <c r="P131" s="111">
        <f>('MUN_LEI 9478'!P131*0.03)/0.075</f>
        <v>2521968.0399999996</v>
      </c>
      <c r="Q131" s="112">
        <f t="shared" ref="Q131:Q163" si="2">SUM(E131:P131)</f>
        <v>25774470.008000001</v>
      </c>
    </row>
    <row r="132" spans="1:17" x14ac:dyDescent="0.15">
      <c r="A132" s="285"/>
      <c r="B132" s="286" t="s">
        <v>5</v>
      </c>
      <c r="C132" s="306">
        <v>0.05</v>
      </c>
      <c r="D132" s="98" t="s">
        <v>6</v>
      </c>
      <c r="E132" s="111">
        <f>'MUN_LEI 9478'!E132</f>
        <v>0</v>
      </c>
      <c r="F132" s="111">
        <f>'MUN_LEI 9478'!F132</f>
        <v>0</v>
      </c>
      <c r="G132" s="111">
        <f>'MUN_LEI 9478'!G132</f>
        <v>0</v>
      </c>
      <c r="H132" s="111">
        <f>'MUN_LEI 9478'!H132</f>
        <v>0</v>
      </c>
      <c r="I132" s="111">
        <f>'MUN_LEI 9478'!I132</f>
        <v>0</v>
      </c>
      <c r="J132" s="111">
        <f>'MUN_LEI 9478'!J132</f>
        <v>0</v>
      </c>
      <c r="K132" s="111">
        <f>'MUN_LEI 9478'!K132</f>
        <v>0</v>
      </c>
      <c r="L132" s="111">
        <f>'MUN_LEI 9478'!L132</f>
        <v>0</v>
      </c>
      <c r="M132" s="111">
        <f>'MUN_LEI 9478'!M132</f>
        <v>0</v>
      </c>
      <c r="N132" s="111">
        <f>'MUN_LEI 9478'!N132</f>
        <v>0</v>
      </c>
      <c r="O132" s="111">
        <f>'MUN_LEI 9478'!O132</f>
        <v>0</v>
      </c>
      <c r="P132" s="111">
        <f>'MUN_LEI 9478'!P132</f>
        <v>0</v>
      </c>
      <c r="Q132" s="112">
        <f t="shared" si="2"/>
        <v>0</v>
      </c>
    </row>
    <row r="133" spans="1:17" x14ac:dyDescent="0.15">
      <c r="A133" s="285"/>
      <c r="B133" s="286"/>
      <c r="C133" s="286"/>
      <c r="D133" s="98" t="s">
        <v>1</v>
      </c>
      <c r="E133" s="111">
        <f>'MUN_LEI 9478'!E133</f>
        <v>0</v>
      </c>
      <c r="F133" s="111">
        <f>'MUN_LEI 9478'!F133</f>
        <v>0</v>
      </c>
      <c r="G133" s="111">
        <f>'MUN_LEI 9478'!G133</f>
        <v>0</v>
      </c>
      <c r="H133" s="111">
        <f>'MUN_LEI 9478'!H133</f>
        <v>0</v>
      </c>
      <c r="I133" s="111">
        <f>'MUN_LEI 9478'!I133</f>
        <v>0</v>
      </c>
      <c r="J133" s="111">
        <f>'MUN_LEI 9478'!J133</f>
        <v>0</v>
      </c>
      <c r="K133" s="111">
        <f>'MUN_LEI 9478'!K133</f>
        <v>0</v>
      </c>
      <c r="L133" s="111">
        <f>'MUN_LEI 9478'!L133</f>
        <v>0</v>
      </c>
      <c r="M133" s="111">
        <f>'MUN_LEI 9478'!M133</f>
        <v>0</v>
      </c>
      <c r="N133" s="111">
        <f>'MUN_LEI 9478'!N133</f>
        <v>0</v>
      </c>
      <c r="O133" s="111">
        <f>'MUN_LEI 9478'!O133</f>
        <v>180364.9</v>
      </c>
      <c r="P133" s="111">
        <f>'MUN_LEI 9478'!P133</f>
        <v>0</v>
      </c>
      <c r="Q133" s="112">
        <f t="shared" si="2"/>
        <v>180364.9</v>
      </c>
    </row>
    <row r="134" spans="1:17" x14ac:dyDescent="0.15">
      <c r="A134" s="285"/>
      <c r="B134" s="286"/>
      <c r="C134" s="286" t="s">
        <v>2</v>
      </c>
      <c r="D134" s="98" t="s">
        <v>6</v>
      </c>
      <c r="E134" s="111">
        <f>'MUN_LEI 9478'!E134</f>
        <v>0</v>
      </c>
      <c r="F134" s="111">
        <f>'MUN_LEI 9478'!F134</f>
        <v>0</v>
      </c>
      <c r="G134" s="111">
        <f>'MUN_LEI 9478'!G134</f>
        <v>0</v>
      </c>
      <c r="H134" s="111">
        <f>'MUN_LEI 9478'!H134</f>
        <v>0</v>
      </c>
      <c r="I134" s="111">
        <f>'MUN_LEI 9478'!I134</f>
        <v>0</v>
      </c>
      <c r="J134" s="111">
        <f>'MUN_LEI 9478'!J134</f>
        <v>0</v>
      </c>
      <c r="K134" s="111">
        <f>'MUN_LEI 9478'!K134</f>
        <v>0</v>
      </c>
      <c r="L134" s="111">
        <f>'MUN_LEI 9478'!L134</f>
        <v>0</v>
      </c>
      <c r="M134" s="111">
        <f>'MUN_LEI 9478'!M134</f>
        <v>0</v>
      </c>
      <c r="N134" s="111">
        <f>'MUN_LEI 9478'!N134</f>
        <v>0</v>
      </c>
      <c r="O134" s="111">
        <f>'MUN_LEI 9478'!O134</f>
        <v>0</v>
      </c>
      <c r="P134" s="111">
        <f>'MUN_LEI 9478'!P134</f>
        <v>0</v>
      </c>
      <c r="Q134" s="112">
        <f t="shared" si="2"/>
        <v>0</v>
      </c>
    </row>
    <row r="135" spans="1:17" x14ac:dyDescent="0.15">
      <c r="A135" s="285"/>
      <c r="B135" s="286"/>
      <c r="C135" s="286"/>
      <c r="D135" s="98" t="s">
        <v>1</v>
      </c>
      <c r="E135" s="111">
        <f>'MUN_LEI 9478'!E135</f>
        <v>0</v>
      </c>
      <c r="F135" s="111">
        <f>'MUN_LEI 9478'!F135</f>
        <v>0</v>
      </c>
      <c r="G135" s="111">
        <f>'MUN_LEI 9478'!G135</f>
        <v>0</v>
      </c>
      <c r="H135" s="111">
        <f>'MUN_LEI 9478'!H135</f>
        <v>0</v>
      </c>
      <c r="I135" s="111">
        <f>'MUN_LEI 9478'!I135</f>
        <v>0</v>
      </c>
      <c r="J135" s="111">
        <f>'MUN_LEI 9478'!J135</f>
        <v>0</v>
      </c>
      <c r="K135" s="111">
        <f>'MUN_LEI 9478'!K135</f>
        <v>0</v>
      </c>
      <c r="L135" s="111">
        <f>'MUN_LEI 9478'!L135</f>
        <v>0</v>
      </c>
      <c r="M135" s="111">
        <f>'MUN_LEI 9478'!M135</f>
        <v>0</v>
      </c>
      <c r="N135" s="111">
        <f>'MUN_LEI 9478'!N135</f>
        <v>0</v>
      </c>
      <c r="O135" s="111">
        <f>'MUN_LEI 9478'!O135</f>
        <v>30471.5</v>
      </c>
      <c r="P135" s="111">
        <f>'MUN_LEI 9478'!P135</f>
        <v>0</v>
      </c>
      <c r="Q135" s="112">
        <f t="shared" si="2"/>
        <v>30471.5</v>
      </c>
    </row>
    <row r="136" spans="1:17" x14ac:dyDescent="0.15">
      <c r="A136" s="285"/>
      <c r="B136" s="307" t="s">
        <v>7</v>
      </c>
      <c r="C136" s="307"/>
      <c r="D136" s="307"/>
      <c r="E136" s="111">
        <v>0</v>
      </c>
      <c r="F136" s="111">
        <v>0</v>
      </c>
      <c r="G136" s="111">
        <v>0</v>
      </c>
      <c r="H136" s="111">
        <v>0</v>
      </c>
      <c r="I136" s="111">
        <v>0</v>
      </c>
      <c r="J136" s="111">
        <v>0</v>
      </c>
      <c r="K136" s="111">
        <v>0</v>
      </c>
      <c r="L136" s="111">
        <v>0</v>
      </c>
      <c r="M136" s="111">
        <v>0</v>
      </c>
      <c r="N136" s="111">
        <v>0</v>
      </c>
      <c r="O136" s="111">
        <v>0</v>
      </c>
      <c r="P136" s="111">
        <v>0</v>
      </c>
      <c r="Q136" s="112">
        <f t="shared" si="2"/>
        <v>0</v>
      </c>
    </row>
    <row r="137" spans="1:17" x14ac:dyDescent="0.15">
      <c r="A137" s="285" t="s">
        <v>21</v>
      </c>
      <c r="B137" s="286" t="s">
        <v>3</v>
      </c>
      <c r="C137" s="306">
        <v>0.05</v>
      </c>
      <c r="D137" s="98" t="s">
        <v>0</v>
      </c>
      <c r="E137" s="111">
        <f>('MUN_LEI 9478'!E137*0.17)/0.3</f>
        <v>0</v>
      </c>
      <c r="F137" s="111">
        <f>('MUN_LEI 9478'!F137*0.17)/0.3</f>
        <v>0</v>
      </c>
      <c r="G137" s="111">
        <f>('MUN_LEI 9478'!G137*0.17)/0.3</f>
        <v>0</v>
      </c>
      <c r="H137" s="111">
        <f>('MUN_LEI 9478'!H137*0.17)/0.3</f>
        <v>0</v>
      </c>
      <c r="I137" s="111">
        <f>('MUN_LEI 9478'!I137*0.17)/0.3</f>
        <v>0</v>
      </c>
      <c r="J137" s="111">
        <f>('MUN_LEI 9478'!J137*0.17)/0.3</f>
        <v>0</v>
      </c>
      <c r="K137" s="111">
        <f>('MUN_LEI 9478'!K137*0.17)/0.3</f>
        <v>0</v>
      </c>
      <c r="L137" s="111">
        <f>('MUN_LEI 9478'!L137*0.17)/0.3</f>
        <v>0</v>
      </c>
      <c r="M137" s="111">
        <f>('MUN_LEI 9478'!M137*0.17)/0.3</f>
        <v>0</v>
      </c>
      <c r="N137" s="111">
        <f>('MUN_LEI 9478'!N137*0.17)/0.3</f>
        <v>0</v>
      </c>
      <c r="O137" s="111">
        <f>('MUN_LEI 9478'!O137*0.17)/0.3</f>
        <v>0</v>
      </c>
      <c r="P137" s="111">
        <f>('MUN_LEI 9478'!P137*0.17)/0.3</f>
        <v>0</v>
      </c>
      <c r="Q137" s="112">
        <f t="shared" si="2"/>
        <v>0</v>
      </c>
    </row>
    <row r="138" spans="1:17" x14ac:dyDescent="0.15">
      <c r="A138" s="285"/>
      <c r="B138" s="286"/>
      <c r="C138" s="286"/>
      <c r="D138" s="98" t="s">
        <v>1</v>
      </c>
      <c r="E138" s="111">
        <f>('MUN_LEI 9478'!E138*0.03)/0.1</f>
        <v>526861.62899999996</v>
      </c>
      <c r="F138" s="111">
        <f>('MUN_LEI 9478'!F138*0.03)/0.1</f>
        <v>215684.39100000003</v>
      </c>
      <c r="G138" s="111">
        <f>('MUN_LEI 9478'!G138*0.03)/0.1</f>
        <v>230128.76099999997</v>
      </c>
      <c r="H138" s="111">
        <f>('MUN_LEI 9478'!H138*0.03)/0.1</f>
        <v>193835.53799999997</v>
      </c>
      <c r="I138" s="111">
        <f>('MUN_LEI 9478'!I138*0.03)/0.1</f>
        <v>212864.739</v>
      </c>
      <c r="J138" s="111">
        <f>('MUN_LEI 9478'!J138*0.03)/0.1</f>
        <v>463089.61199999991</v>
      </c>
      <c r="K138" s="111">
        <f>('MUN_LEI 9478'!K138*0.03)/0.1</f>
        <v>271516.60799999995</v>
      </c>
      <c r="L138" s="111">
        <f>('MUN_LEI 9478'!L138*0.03)/0.1</f>
        <v>266255.93999999994</v>
      </c>
      <c r="M138" s="111">
        <f>('MUN_LEI 9478'!M138*0.03)/0.1</f>
        <v>269383.15499999997</v>
      </c>
      <c r="N138" s="111">
        <f>('MUN_LEI 9478'!N138*0.03)/0.1</f>
        <v>521456.45699999994</v>
      </c>
      <c r="O138" s="111">
        <f>('MUN_LEI 9478'!O138*0.03)/0.1</f>
        <v>270246.71699999995</v>
      </c>
      <c r="P138" s="111">
        <f>('MUN_LEI 9478'!P138*0.03)/0.1</f>
        <v>276088.06499999994</v>
      </c>
      <c r="Q138" s="112">
        <f t="shared" si="2"/>
        <v>3717411.6119999993</v>
      </c>
    </row>
    <row r="139" spans="1:17" x14ac:dyDescent="0.15">
      <c r="A139" s="285"/>
      <c r="B139" s="286"/>
      <c r="C139" s="286" t="s">
        <v>2</v>
      </c>
      <c r="D139" s="98" t="s">
        <v>0</v>
      </c>
      <c r="E139" s="111">
        <f>('MUN_LEI 9478'!E139*0.17)/0.225</f>
        <v>0</v>
      </c>
      <c r="F139" s="111">
        <f>('MUN_LEI 9478'!F139*0.17)/0.225</f>
        <v>0</v>
      </c>
      <c r="G139" s="111">
        <f>('MUN_LEI 9478'!G139*0.17)/0.225</f>
        <v>0</v>
      </c>
      <c r="H139" s="111">
        <f>('MUN_LEI 9478'!H139*0.17)/0.225</f>
        <v>0</v>
      </c>
      <c r="I139" s="111">
        <f>('MUN_LEI 9478'!I139*0.17)/0.225</f>
        <v>0</v>
      </c>
      <c r="J139" s="111">
        <f>('MUN_LEI 9478'!J139*0.17)/0.225</f>
        <v>0</v>
      </c>
      <c r="K139" s="111">
        <f>('MUN_LEI 9478'!K139*0.17)/0.225</f>
        <v>0</v>
      </c>
      <c r="L139" s="111">
        <f>('MUN_LEI 9478'!L139*0.17)/0.225</f>
        <v>0</v>
      </c>
      <c r="M139" s="111">
        <f>('MUN_LEI 9478'!M139*0.17)/0.225</f>
        <v>0</v>
      </c>
      <c r="N139" s="111">
        <f>('MUN_LEI 9478'!N139*0.17)/0.225</f>
        <v>0</v>
      </c>
      <c r="O139" s="111">
        <f>('MUN_LEI 9478'!O139*0.17)/0.225</f>
        <v>0</v>
      </c>
      <c r="P139" s="111">
        <f>('MUN_LEI 9478'!P139*0.17)/0.225</f>
        <v>0</v>
      </c>
      <c r="Q139" s="112">
        <f t="shared" si="2"/>
        <v>0</v>
      </c>
    </row>
    <row r="140" spans="1:17" x14ac:dyDescent="0.15">
      <c r="A140" s="285"/>
      <c r="B140" s="286"/>
      <c r="C140" s="286"/>
      <c r="D140" s="98" t="s">
        <v>1</v>
      </c>
      <c r="E140" s="111">
        <f>('MUN_LEI 9478'!E140*0.03)/0.075</f>
        <v>1263677.0959999999</v>
      </c>
      <c r="F140" s="111">
        <f>('MUN_LEI 9478'!F140*0.03)/0.075</f>
        <v>1412358.952</v>
      </c>
      <c r="G140" s="111">
        <f>('MUN_LEI 9478'!G140*0.03)/0.075</f>
        <v>1150574.4319999998</v>
      </c>
      <c r="H140" s="111">
        <f>('MUN_LEI 9478'!H140*0.03)/0.075</f>
        <v>1270616.4439999997</v>
      </c>
      <c r="I140" s="111">
        <f>('MUN_LEI 9478'!I140*0.03)/0.075</f>
        <v>1303942.9720000001</v>
      </c>
      <c r="J140" s="111">
        <f>('MUN_LEI 9478'!J140*0.03)/0.075</f>
        <v>1770579.5559999999</v>
      </c>
      <c r="K140" s="111">
        <f>('MUN_LEI 9478'!K140*0.03)/0.075</f>
        <v>2136826.4160000002</v>
      </c>
      <c r="L140" s="111">
        <f>('MUN_LEI 9478'!L140*0.03)/0.075</f>
        <v>2085547.54</v>
      </c>
      <c r="M140" s="111">
        <f>('MUN_LEI 9478'!M140*0.03)/0.075</f>
        <v>2212871.8800000004</v>
      </c>
      <c r="N140" s="111">
        <f>('MUN_LEI 9478'!N140*0.03)/0.075</f>
        <v>2812061.66</v>
      </c>
      <c r="O140" s="111">
        <f>('MUN_LEI 9478'!O140*0.03)/0.075</f>
        <v>2618220.8119999999</v>
      </c>
      <c r="P140" s="111">
        <f>('MUN_LEI 9478'!P140*0.03)/0.075</f>
        <v>2442622.8199999994</v>
      </c>
      <c r="Q140" s="112">
        <f t="shared" si="2"/>
        <v>22479900.579999998</v>
      </c>
    </row>
    <row r="141" spans="1:17" x14ac:dyDescent="0.15">
      <c r="A141" s="285"/>
      <c r="B141" s="286" t="s">
        <v>5</v>
      </c>
      <c r="C141" s="306">
        <v>0.05</v>
      </c>
      <c r="D141" s="98" t="s">
        <v>6</v>
      </c>
      <c r="E141" s="111">
        <f>'MUN_LEI 9478'!E141</f>
        <v>0</v>
      </c>
      <c r="F141" s="111">
        <f>'MUN_LEI 9478'!F141</f>
        <v>0</v>
      </c>
      <c r="G141" s="111">
        <f>'MUN_LEI 9478'!G141</f>
        <v>0</v>
      </c>
      <c r="H141" s="111">
        <f>'MUN_LEI 9478'!H141</f>
        <v>0</v>
      </c>
      <c r="I141" s="111">
        <f>'MUN_LEI 9478'!I141</f>
        <v>0</v>
      </c>
      <c r="J141" s="111">
        <f>'MUN_LEI 9478'!J141</f>
        <v>0</v>
      </c>
      <c r="K141" s="111">
        <f>'MUN_LEI 9478'!K141</f>
        <v>0</v>
      </c>
      <c r="L141" s="111">
        <f>'MUN_LEI 9478'!L141</f>
        <v>0</v>
      </c>
      <c r="M141" s="111">
        <f>'MUN_LEI 9478'!M141</f>
        <v>0</v>
      </c>
      <c r="N141" s="111">
        <f>'MUN_LEI 9478'!N141</f>
        <v>0</v>
      </c>
      <c r="O141" s="111">
        <f>'MUN_LEI 9478'!O141</f>
        <v>0</v>
      </c>
      <c r="P141" s="111">
        <f>'MUN_LEI 9478'!P141</f>
        <v>0</v>
      </c>
      <c r="Q141" s="112">
        <f t="shared" si="2"/>
        <v>0</v>
      </c>
    </row>
    <row r="142" spans="1:17" x14ac:dyDescent="0.15">
      <c r="A142" s="285"/>
      <c r="B142" s="286"/>
      <c r="C142" s="286"/>
      <c r="D142" s="98" t="s">
        <v>1</v>
      </c>
      <c r="E142" s="111">
        <f>'MUN_LEI 9478'!E142</f>
        <v>0</v>
      </c>
      <c r="F142" s="111">
        <f>'MUN_LEI 9478'!F142</f>
        <v>0</v>
      </c>
      <c r="G142" s="111">
        <f>'MUN_LEI 9478'!G142</f>
        <v>0</v>
      </c>
      <c r="H142" s="111">
        <f>'MUN_LEI 9478'!H142</f>
        <v>0</v>
      </c>
      <c r="I142" s="111">
        <f>'MUN_LEI 9478'!I142</f>
        <v>0</v>
      </c>
      <c r="J142" s="111">
        <f>'MUN_LEI 9478'!J142</f>
        <v>0</v>
      </c>
      <c r="K142" s="111">
        <f>'MUN_LEI 9478'!K142</f>
        <v>0</v>
      </c>
      <c r="L142" s="111">
        <f>'MUN_LEI 9478'!L142</f>
        <v>0</v>
      </c>
      <c r="M142" s="111">
        <f>'MUN_LEI 9478'!M142</f>
        <v>0</v>
      </c>
      <c r="N142" s="111">
        <f>'MUN_LEI 9478'!N142</f>
        <v>0</v>
      </c>
      <c r="O142" s="111">
        <f>'MUN_LEI 9478'!O142</f>
        <v>0</v>
      </c>
      <c r="P142" s="111">
        <f>'MUN_LEI 9478'!P142</f>
        <v>0</v>
      </c>
      <c r="Q142" s="112">
        <f t="shared" si="2"/>
        <v>0</v>
      </c>
    </row>
    <row r="143" spans="1:17" x14ac:dyDescent="0.15">
      <c r="A143" s="285"/>
      <c r="B143" s="286"/>
      <c r="C143" s="286" t="s">
        <v>2</v>
      </c>
      <c r="D143" s="98" t="s">
        <v>6</v>
      </c>
      <c r="E143" s="111">
        <f>'MUN_LEI 9478'!E143</f>
        <v>0</v>
      </c>
      <c r="F143" s="111">
        <f>'MUN_LEI 9478'!F143</f>
        <v>0</v>
      </c>
      <c r="G143" s="111">
        <f>'MUN_LEI 9478'!G143</f>
        <v>0</v>
      </c>
      <c r="H143" s="111">
        <f>'MUN_LEI 9478'!H143</f>
        <v>0</v>
      </c>
      <c r="I143" s="111">
        <f>'MUN_LEI 9478'!I143</f>
        <v>0</v>
      </c>
      <c r="J143" s="111">
        <f>'MUN_LEI 9478'!J143</f>
        <v>0</v>
      </c>
      <c r="K143" s="111">
        <f>'MUN_LEI 9478'!K143</f>
        <v>0</v>
      </c>
      <c r="L143" s="111">
        <f>'MUN_LEI 9478'!L143</f>
        <v>0</v>
      </c>
      <c r="M143" s="111">
        <f>'MUN_LEI 9478'!M143</f>
        <v>0</v>
      </c>
      <c r="N143" s="111">
        <f>'MUN_LEI 9478'!N143</f>
        <v>0</v>
      </c>
      <c r="O143" s="111">
        <f>'MUN_LEI 9478'!O143</f>
        <v>0</v>
      </c>
      <c r="P143" s="111">
        <f>'MUN_LEI 9478'!P143</f>
        <v>0</v>
      </c>
      <c r="Q143" s="112">
        <f t="shared" si="2"/>
        <v>0</v>
      </c>
    </row>
    <row r="144" spans="1:17" x14ac:dyDescent="0.15">
      <c r="A144" s="285"/>
      <c r="B144" s="286"/>
      <c r="C144" s="286"/>
      <c r="D144" s="98" t="s">
        <v>1</v>
      </c>
      <c r="E144" s="111">
        <f>'MUN_LEI 9478'!E144</f>
        <v>0</v>
      </c>
      <c r="F144" s="111">
        <f>'MUN_LEI 9478'!F144</f>
        <v>0</v>
      </c>
      <c r="G144" s="111">
        <f>'MUN_LEI 9478'!G144</f>
        <v>0</v>
      </c>
      <c r="H144" s="111">
        <f>'MUN_LEI 9478'!H144</f>
        <v>0</v>
      </c>
      <c r="I144" s="111">
        <f>'MUN_LEI 9478'!I144</f>
        <v>0</v>
      </c>
      <c r="J144" s="111">
        <f>'MUN_LEI 9478'!J144</f>
        <v>0</v>
      </c>
      <c r="K144" s="111">
        <f>'MUN_LEI 9478'!K144</f>
        <v>0</v>
      </c>
      <c r="L144" s="111">
        <f>'MUN_LEI 9478'!L144</f>
        <v>0</v>
      </c>
      <c r="M144" s="111">
        <f>'MUN_LEI 9478'!M144</f>
        <v>0</v>
      </c>
      <c r="N144" s="111">
        <f>'MUN_LEI 9478'!N144</f>
        <v>0</v>
      </c>
      <c r="O144" s="111">
        <f>'MUN_LEI 9478'!O144</f>
        <v>0</v>
      </c>
      <c r="P144" s="111">
        <f>'MUN_LEI 9478'!P144</f>
        <v>0</v>
      </c>
      <c r="Q144" s="112">
        <f t="shared" si="2"/>
        <v>0</v>
      </c>
    </row>
    <row r="145" spans="1:17" x14ac:dyDescent="0.15">
      <c r="A145" s="285"/>
      <c r="B145" s="307" t="s">
        <v>7</v>
      </c>
      <c r="C145" s="307"/>
      <c r="D145" s="307"/>
      <c r="E145" s="111">
        <v>0</v>
      </c>
      <c r="F145" s="111">
        <v>0</v>
      </c>
      <c r="G145" s="111">
        <v>0</v>
      </c>
      <c r="H145" s="111">
        <v>0</v>
      </c>
      <c r="I145" s="111">
        <v>0</v>
      </c>
      <c r="J145" s="111">
        <v>0</v>
      </c>
      <c r="K145" s="111">
        <v>0</v>
      </c>
      <c r="L145" s="111">
        <v>0</v>
      </c>
      <c r="M145" s="111">
        <v>0</v>
      </c>
      <c r="N145" s="111">
        <v>0</v>
      </c>
      <c r="O145" s="111">
        <v>0</v>
      </c>
      <c r="P145" s="111">
        <v>0</v>
      </c>
      <c r="Q145" s="112">
        <f t="shared" si="2"/>
        <v>0</v>
      </c>
    </row>
    <row r="146" spans="1:17" x14ac:dyDescent="0.15">
      <c r="A146" s="285" t="s">
        <v>25</v>
      </c>
      <c r="B146" s="286" t="s">
        <v>3</v>
      </c>
      <c r="C146" s="306">
        <v>0.05</v>
      </c>
      <c r="D146" s="98" t="s">
        <v>0</v>
      </c>
      <c r="E146" s="111">
        <f>('MUN_LEI 9478'!E146*0.17)/0.3</f>
        <v>402146.84333333344</v>
      </c>
      <c r="F146" s="111">
        <f>('MUN_LEI 9478'!F146*0.17)/0.3</f>
        <v>426874.68633333355</v>
      </c>
      <c r="G146" s="111">
        <f>('MUN_LEI 9478'!G146*0.17)/0.3</f>
        <v>443727.26800000004</v>
      </c>
      <c r="H146" s="111">
        <f>('MUN_LEI 9478'!H146*0.17)/0.3</f>
        <v>358389.24000000011</v>
      </c>
      <c r="I146" s="111">
        <f>('MUN_LEI 9478'!I146*0.17)/0.3</f>
        <v>374130.21433333325</v>
      </c>
      <c r="J146" s="111">
        <f>('MUN_LEI 9478'!J146*0.17)/0.3</f>
        <v>336385.2730000001</v>
      </c>
      <c r="K146" s="111">
        <f>('MUN_LEI 9478'!K146*0.17)/0.3</f>
        <v>487668.05199999997</v>
      </c>
      <c r="L146" s="111">
        <f>('MUN_LEI 9478'!L146*0.17)/0.3</f>
        <v>469100.26666666666</v>
      </c>
      <c r="M146" s="111">
        <f>('MUN_LEI 9478'!M146*0.17)/0.3</f>
        <v>488625.48633333348</v>
      </c>
      <c r="N146" s="111">
        <f>('MUN_LEI 9478'!N146*0.17)/0.3</f>
        <v>498176.42066666676</v>
      </c>
      <c r="O146" s="111">
        <f>('MUN_LEI 9478'!O146*0.17)/0.3</f>
        <v>535113.5843333333</v>
      </c>
      <c r="P146" s="111">
        <f>('MUN_LEI 9478'!P146*0.17)/0.3</f>
        <v>521424.15866666677</v>
      </c>
      <c r="Q146" s="112">
        <f t="shared" si="2"/>
        <v>5341761.4936666675</v>
      </c>
    </row>
    <row r="147" spans="1:17" x14ac:dyDescent="0.15">
      <c r="A147" s="285"/>
      <c r="B147" s="286"/>
      <c r="C147" s="286"/>
      <c r="D147" s="98" t="s">
        <v>1</v>
      </c>
      <c r="E147" s="111">
        <f>('MUN_LEI 9478'!E147*0.03)/0.1</f>
        <v>2973520.5419999999</v>
      </c>
      <c r="F147" s="111">
        <f>('MUN_LEI 9478'!F147*0.03)/0.1</f>
        <v>3221785.5660000006</v>
      </c>
      <c r="G147" s="111">
        <f>('MUN_LEI 9478'!G147*0.03)/0.1</f>
        <v>3375221.8139999993</v>
      </c>
      <c r="H147" s="111">
        <f>('MUN_LEI 9478'!H147*0.03)/0.1</f>
        <v>2845111.44</v>
      </c>
      <c r="I147" s="111">
        <f>('MUN_LEI 9478'!I147*0.03)/0.1</f>
        <v>3126909.5939999996</v>
      </c>
      <c r="J147" s="111">
        <f>('MUN_LEI 9478'!J147*0.03)/0.1</f>
        <v>3464379.54</v>
      </c>
      <c r="K147" s="111">
        <f>('MUN_LEI 9478'!K147*0.03)/0.1</f>
        <v>4220849.078999999</v>
      </c>
      <c r="L147" s="111">
        <f>('MUN_LEI 9478'!L147*0.03)/0.1</f>
        <v>4351907.4240000006</v>
      </c>
      <c r="M147" s="111">
        <f>('MUN_LEI 9478'!M147*0.03)/0.1</f>
        <v>4940213.0999999978</v>
      </c>
      <c r="N147" s="111">
        <f>('MUN_LEI 9478'!N147*0.03)/0.1</f>
        <v>4889884.6829999983</v>
      </c>
      <c r="O147" s="111">
        <f>('MUN_LEI 9478'!O147*0.03)/0.1</f>
        <v>5177079.2610000009</v>
      </c>
      <c r="P147" s="111">
        <f>('MUN_LEI 9478'!P147*0.03)/0.1</f>
        <v>5284325.5590000013</v>
      </c>
      <c r="Q147" s="112">
        <f t="shared" si="2"/>
        <v>47871187.601999991</v>
      </c>
    </row>
    <row r="148" spans="1:17" x14ac:dyDescent="0.15">
      <c r="A148" s="285"/>
      <c r="B148" s="286"/>
      <c r="C148" s="286" t="s">
        <v>2</v>
      </c>
      <c r="D148" s="98" t="s">
        <v>0</v>
      </c>
      <c r="E148" s="111">
        <f>('MUN_LEI 9478'!E148*0.17)/0.225</f>
        <v>378088.23555555556</v>
      </c>
      <c r="F148" s="111">
        <f>('MUN_LEI 9478'!F148*0.17)/0.225</f>
        <v>399516.63733333338</v>
      </c>
      <c r="G148" s="111">
        <f>('MUN_LEI 9478'!G148*0.17)/0.225</f>
        <v>415454.01644444454</v>
      </c>
      <c r="H148" s="111">
        <f>('MUN_LEI 9478'!H148*0.17)/0.225</f>
        <v>336177.2288888889</v>
      </c>
      <c r="I148" s="111">
        <f>('MUN_LEI 9478'!I148*0.17)/0.225</f>
        <v>348945.06</v>
      </c>
      <c r="J148" s="111">
        <f>('MUN_LEI 9478'!J148*0.17)/0.225</f>
        <v>312072.58888888889</v>
      </c>
      <c r="K148" s="111">
        <f>('MUN_LEI 9478'!K148*0.17)/0.225</f>
        <v>459611.96222222224</v>
      </c>
      <c r="L148" s="111">
        <f>('MUN_LEI 9478'!L148*0.17)/0.225</f>
        <v>439548.84933333332</v>
      </c>
      <c r="M148" s="111">
        <f>('MUN_LEI 9478'!M148*0.17)/0.225</f>
        <v>458475.75777777779</v>
      </c>
      <c r="N148" s="111">
        <f>('MUN_LEI 9478'!N148*0.17)/0.225</f>
        <v>466306.32044444449</v>
      </c>
      <c r="O148" s="111">
        <f>('MUN_LEI 9478'!O148*0.17)/0.225</f>
        <v>500945.37688888889</v>
      </c>
      <c r="P148" s="111">
        <f>('MUN_LEI 9478'!P148*0.17)/0.225</f>
        <v>484976.30222222215</v>
      </c>
      <c r="Q148" s="112">
        <f t="shared" si="2"/>
        <v>5000118.3360000001</v>
      </c>
    </row>
    <row r="149" spans="1:17" x14ac:dyDescent="0.15">
      <c r="A149" s="285"/>
      <c r="B149" s="286"/>
      <c r="C149" s="286"/>
      <c r="D149" s="98" t="s">
        <v>1</v>
      </c>
      <c r="E149" s="111">
        <f>('MUN_LEI 9478'!E149*0.03)/0.075</f>
        <v>44038.235999999997</v>
      </c>
      <c r="F149" s="111">
        <f>('MUN_LEI 9478'!F149*0.03)/0.075</f>
        <v>64215.268000000011</v>
      </c>
      <c r="G149" s="111">
        <f>('MUN_LEI 9478'!G149*0.03)/0.075</f>
        <v>60418.248</v>
      </c>
      <c r="H149" s="111">
        <f>('MUN_LEI 9478'!H149*0.03)/0.075</f>
        <v>60672.507999999994</v>
      </c>
      <c r="I149" s="111">
        <f>('MUN_LEI 9478'!I149*0.03)/0.075</f>
        <v>54456.780000000006</v>
      </c>
      <c r="J149" s="111">
        <f>('MUN_LEI 9478'!J149*0.03)/0.075</f>
        <v>58118.060000000005</v>
      </c>
      <c r="K149" s="111">
        <f>('MUN_LEI 9478'!K149*0.03)/0.075</f>
        <v>75200.872000000003</v>
      </c>
      <c r="L149" s="111">
        <f>('MUN_LEI 9478'!L149*0.03)/0.075</f>
        <v>74992.528000000006</v>
      </c>
      <c r="M149" s="111">
        <f>('MUN_LEI 9478'!M149*0.03)/0.075</f>
        <v>64297.632000000005</v>
      </c>
      <c r="N149" s="111">
        <f>('MUN_LEI 9478'!N149*0.03)/0.075</f>
        <v>78025.148000000001</v>
      </c>
      <c r="O149" s="111">
        <f>('MUN_LEI 9478'!O149*0.03)/0.075</f>
        <v>103067.476</v>
      </c>
      <c r="P149" s="111">
        <f>('MUN_LEI 9478'!P149*0.03)/0.075</f>
        <v>199949.60399999996</v>
      </c>
      <c r="Q149" s="112">
        <f t="shared" si="2"/>
        <v>937452.3600000001</v>
      </c>
    </row>
    <row r="150" spans="1:17" x14ac:dyDescent="0.15">
      <c r="A150" s="285"/>
      <c r="B150" s="286" t="s">
        <v>5</v>
      </c>
      <c r="C150" s="306">
        <v>0.05</v>
      </c>
      <c r="D150" s="98" t="s">
        <v>6</v>
      </c>
      <c r="E150" s="111">
        <f>'MUN_LEI 9478'!E150</f>
        <v>907089.78</v>
      </c>
      <c r="F150" s="111">
        <f>'MUN_LEI 9478'!F150</f>
        <v>951844.97000000009</v>
      </c>
      <c r="G150" s="111">
        <f>'MUN_LEI 9478'!G150</f>
        <v>1015208.2599999999</v>
      </c>
      <c r="H150" s="111">
        <f>'MUN_LEI 9478'!H150</f>
        <v>823198.36999999988</v>
      </c>
      <c r="I150" s="111">
        <f>'MUN_LEI 9478'!I150</f>
        <v>844792.97</v>
      </c>
      <c r="J150" s="111">
        <f>'MUN_LEI 9478'!J150</f>
        <v>859586.89</v>
      </c>
      <c r="K150" s="111">
        <f>'MUN_LEI 9478'!K150</f>
        <v>998346.55999999971</v>
      </c>
      <c r="L150" s="111">
        <f>'MUN_LEI 9478'!L150</f>
        <v>989988.12999999977</v>
      </c>
      <c r="M150" s="111">
        <f>'MUN_LEI 9478'!M150</f>
        <v>1026485.28</v>
      </c>
      <c r="N150" s="111">
        <f>'MUN_LEI 9478'!N150</f>
        <v>983759.4</v>
      </c>
      <c r="O150" s="111">
        <f>'MUN_LEI 9478'!O150</f>
        <v>1043268.2300000001</v>
      </c>
      <c r="P150" s="111">
        <f>'MUN_LEI 9478'!P150</f>
        <v>1016653.7400000001</v>
      </c>
      <c r="Q150" s="112">
        <f t="shared" si="2"/>
        <v>11460222.58</v>
      </c>
    </row>
    <row r="151" spans="1:17" x14ac:dyDescent="0.15">
      <c r="A151" s="285"/>
      <c r="B151" s="286"/>
      <c r="C151" s="286"/>
      <c r="D151" s="98" t="s">
        <v>1</v>
      </c>
      <c r="E151" s="111">
        <f>'MUN_LEI 9478'!E151</f>
        <v>939113.57999999973</v>
      </c>
      <c r="F151" s="111">
        <f>'MUN_LEI 9478'!F151</f>
        <v>924387.44</v>
      </c>
      <c r="G151" s="111">
        <f>'MUN_LEI 9478'!G151</f>
        <v>981392.37000000034</v>
      </c>
      <c r="H151" s="111">
        <f>'MUN_LEI 9478'!H151</f>
        <v>751706.62999999989</v>
      </c>
      <c r="I151" s="111">
        <f>'MUN_LEI 9478'!I151</f>
        <v>856503.61999999988</v>
      </c>
      <c r="J151" s="111">
        <f>'MUN_LEI 9478'!J151</f>
        <v>923530.1399999999</v>
      </c>
      <c r="K151" s="111">
        <f>'MUN_LEI 9478'!K151</f>
        <v>1059369.6599999997</v>
      </c>
      <c r="L151" s="111">
        <f>'MUN_LEI 9478'!L151</f>
        <v>1088288.26</v>
      </c>
      <c r="M151" s="111">
        <f>'MUN_LEI 9478'!M151</f>
        <v>1274445.3200000003</v>
      </c>
      <c r="N151" s="111">
        <f>'MUN_LEI 9478'!N151</f>
        <v>1302472.99</v>
      </c>
      <c r="O151" s="111">
        <f>'MUN_LEI 9478'!O151</f>
        <v>1308604.9099999997</v>
      </c>
      <c r="P151" s="111">
        <f>'MUN_LEI 9478'!P151</f>
        <v>1258927.29</v>
      </c>
      <c r="Q151" s="112">
        <f t="shared" si="2"/>
        <v>12668742.210000001</v>
      </c>
    </row>
    <row r="152" spans="1:17" x14ac:dyDescent="0.15">
      <c r="A152" s="285"/>
      <c r="B152" s="286"/>
      <c r="C152" s="286" t="s">
        <v>2</v>
      </c>
      <c r="D152" s="98" t="s">
        <v>6</v>
      </c>
      <c r="E152" s="111">
        <f>'MUN_LEI 9478'!E152</f>
        <v>641258.04</v>
      </c>
      <c r="F152" s="111">
        <f>'MUN_LEI 9478'!F152</f>
        <v>673484.23</v>
      </c>
      <c r="G152" s="111">
        <f>'MUN_LEI 9478'!G152</f>
        <v>719725.50000000023</v>
      </c>
      <c r="H152" s="111">
        <f>'MUN_LEI 9478'!H152</f>
        <v>584982.54</v>
      </c>
      <c r="I152" s="111">
        <f>'MUN_LEI 9478'!I152</f>
        <v>599984.37000000011</v>
      </c>
      <c r="J152" s="111">
        <f>'MUN_LEI 9478'!J152</f>
        <v>608441.92999999993</v>
      </c>
      <c r="K152" s="111">
        <f>'MUN_LEI 9478'!K152</f>
        <v>703128.49999999988</v>
      </c>
      <c r="L152" s="111">
        <f>'MUN_LEI 9478'!L152</f>
        <v>695543.69000000018</v>
      </c>
      <c r="M152" s="111">
        <f>'MUN_LEI 9478'!M152</f>
        <v>723044.94</v>
      </c>
      <c r="N152" s="111">
        <f>'MUN_LEI 9478'!N152</f>
        <v>691375.52999999991</v>
      </c>
      <c r="O152" s="111">
        <f>'MUN_LEI 9478'!O152</f>
        <v>732148.77000000014</v>
      </c>
      <c r="P152" s="111">
        <f>'MUN_LEI 9478'!P152</f>
        <v>711700.91000000015</v>
      </c>
      <c r="Q152" s="112">
        <f t="shared" si="2"/>
        <v>8084818.9500000011</v>
      </c>
    </row>
    <row r="153" spans="1:17" x14ac:dyDescent="0.15">
      <c r="A153" s="285"/>
      <c r="B153" s="286"/>
      <c r="C153" s="286"/>
      <c r="D153" s="98" t="s">
        <v>1</v>
      </c>
      <c r="E153" s="111">
        <f>'MUN_LEI 9478'!E153</f>
        <v>257311.3</v>
      </c>
      <c r="F153" s="111">
        <f>'MUN_LEI 9478'!F153</f>
        <v>338425.02999999997</v>
      </c>
      <c r="G153" s="111">
        <f>'MUN_LEI 9478'!G153</f>
        <v>306759.63</v>
      </c>
      <c r="H153" s="111">
        <f>'MUN_LEI 9478'!H153</f>
        <v>258995.68999999997</v>
      </c>
      <c r="I153" s="111">
        <f>'MUN_LEI 9478'!I153</f>
        <v>290692.96999999997</v>
      </c>
      <c r="J153" s="111">
        <f>'MUN_LEI 9478'!J153</f>
        <v>275798.73</v>
      </c>
      <c r="K153" s="111">
        <f>'MUN_LEI 9478'!K153</f>
        <v>328830.59999999998</v>
      </c>
      <c r="L153" s="111">
        <f>'MUN_LEI 9478'!L153</f>
        <v>262165.15999999997</v>
      </c>
      <c r="M153" s="111">
        <f>'MUN_LEI 9478'!M153</f>
        <v>254248.72000000003</v>
      </c>
      <c r="N153" s="111">
        <f>'MUN_LEI 9478'!N153</f>
        <v>334839.01</v>
      </c>
      <c r="O153" s="111">
        <f>'MUN_LEI 9478'!O153</f>
        <v>311390.31</v>
      </c>
      <c r="P153" s="111">
        <f>'MUN_LEI 9478'!P153</f>
        <v>210798.66000000003</v>
      </c>
      <c r="Q153" s="112">
        <f t="shared" si="2"/>
        <v>3430255.81</v>
      </c>
    </row>
    <row r="154" spans="1:17" x14ac:dyDescent="0.15">
      <c r="A154" s="285"/>
      <c r="B154" s="307" t="s">
        <v>7</v>
      </c>
      <c r="C154" s="307"/>
      <c r="D154" s="307"/>
      <c r="E154" s="111">
        <v>0</v>
      </c>
      <c r="F154" s="111">
        <v>0</v>
      </c>
      <c r="G154" s="111">
        <v>0</v>
      </c>
      <c r="H154" s="111">
        <v>0</v>
      </c>
      <c r="I154" s="111">
        <v>0</v>
      </c>
      <c r="J154" s="111">
        <v>0</v>
      </c>
      <c r="K154" s="111">
        <v>0</v>
      </c>
      <c r="L154" s="111">
        <v>0</v>
      </c>
      <c r="M154" s="111">
        <v>0</v>
      </c>
      <c r="N154" s="111">
        <v>0</v>
      </c>
      <c r="O154" s="111">
        <v>0</v>
      </c>
      <c r="P154" s="111">
        <v>0</v>
      </c>
      <c r="Q154" s="112">
        <f t="shared" si="2"/>
        <v>0</v>
      </c>
    </row>
    <row r="155" spans="1:17" x14ac:dyDescent="0.15">
      <c r="A155" s="285" t="s">
        <v>22</v>
      </c>
      <c r="B155" s="286" t="s">
        <v>3</v>
      </c>
      <c r="C155" s="306">
        <v>0.05</v>
      </c>
      <c r="D155" s="98" t="s">
        <v>0</v>
      </c>
      <c r="E155" s="111">
        <f>('MUN_LEI 9478'!E155*0.17)/0.3</f>
        <v>14960184.461333336</v>
      </c>
      <c r="F155" s="111">
        <f>('MUN_LEI 9478'!F155*0.17)/0.3</f>
        <v>19170027.265333332</v>
      </c>
      <c r="G155" s="111">
        <f>('MUN_LEI 9478'!G155*0.17)/0.3</f>
        <v>19945769.350000005</v>
      </c>
      <c r="H155" s="111">
        <f>('MUN_LEI 9478'!H155*0.17)/0.3</f>
        <v>17074289.603333339</v>
      </c>
      <c r="I155" s="111">
        <f>('MUN_LEI 9478'!I155*0.17)/0.3</f>
        <v>18143392.766000003</v>
      </c>
      <c r="J155" s="111">
        <f>('MUN_LEI 9478'!J155*0.17)/0.3</f>
        <v>16949012.132333338</v>
      </c>
      <c r="K155" s="111">
        <f>('MUN_LEI 9478'!K155*0.17)/0.3</f>
        <v>23165472.977000006</v>
      </c>
      <c r="L155" s="111">
        <f>('MUN_LEI 9478'!L155*0.17)/0.3</f>
        <v>22753051.429999996</v>
      </c>
      <c r="M155" s="111">
        <f>('MUN_LEI 9478'!M155*0.17)/0.3</f>
        <v>23550597.374666672</v>
      </c>
      <c r="N155" s="111">
        <f>('MUN_LEI 9478'!N155*0.17)/0.3</f>
        <v>22817125.036333337</v>
      </c>
      <c r="O155" s="111">
        <f>('MUN_LEI 9478'!O155*0.17)/0.3</f>
        <v>25984807.558333345</v>
      </c>
      <c r="P155" s="111">
        <f>('MUN_LEI 9478'!P155*0.17)/0.3</f>
        <v>26312634.373999998</v>
      </c>
      <c r="Q155" s="112">
        <f t="shared" si="2"/>
        <v>250826364.32866669</v>
      </c>
    </row>
    <row r="156" spans="1:17" x14ac:dyDescent="0.15">
      <c r="A156" s="285"/>
      <c r="B156" s="286"/>
      <c r="C156" s="286"/>
      <c r="D156" s="98" t="s">
        <v>1</v>
      </c>
      <c r="E156" s="111">
        <f>('MUN_LEI 9478'!E156*0.03)/0.1</f>
        <v>1255807.179</v>
      </c>
      <c r="F156" s="111">
        <f>('MUN_LEI 9478'!F156*0.03)/0.1</f>
        <v>1253665.4490000003</v>
      </c>
      <c r="G156" s="111">
        <f>('MUN_LEI 9478'!G156*0.03)/0.1</f>
        <v>1342417.7339999995</v>
      </c>
      <c r="H156" s="111">
        <f>('MUN_LEI 9478'!H156*0.03)/0.1</f>
        <v>1136730.3989999997</v>
      </c>
      <c r="I156" s="111">
        <f>('MUN_LEI 9478'!I156*0.03)/0.1</f>
        <v>1255167.8879999998</v>
      </c>
      <c r="J156" s="111">
        <f>('MUN_LEI 9478'!J156*0.03)/0.1</f>
        <v>1351166.568</v>
      </c>
      <c r="K156" s="111">
        <f>('MUN_LEI 9478'!K156*0.03)/0.1</f>
        <v>1579732.9619999994</v>
      </c>
      <c r="L156" s="111">
        <f>('MUN_LEI 9478'!L156*0.03)/0.1</f>
        <v>1569991.8719999997</v>
      </c>
      <c r="M156" s="111">
        <f>('MUN_LEI 9478'!M156*0.03)/0.1</f>
        <v>1579772.3249999997</v>
      </c>
      <c r="N156" s="111">
        <f>('MUN_LEI 9478'!N156*0.03)/0.1</f>
        <v>1525014.2279999999</v>
      </c>
      <c r="O156" s="111">
        <f>('MUN_LEI 9478'!O156*0.03)/0.1</f>
        <v>1775149.9649999994</v>
      </c>
      <c r="P156" s="111">
        <f>('MUN_LEI 9478'!P156*0.03)/0.1</f>
        <v>2004399.3059999999</v>
      </c>
      <c r="Q156" s="112">
        <f t="shared" si="2"/>
        <v>17629015.875</v>
      </c>
    </row>
    <row r="157" spans="1:17" x14ac:dyDescent="0.15">
      <c r="A157" s="285"/>
      <c r="B157" s="286"/>
      <c r="C157" s="286" t="s">
        <v>2</v>
      </c>
      <c r="D157" s="98" t="s">
        <v>0</v>
      </c>
      <c r="E157" s="111">
        <f>('MUN_LEI 9478'!E157*0.17)/0.225</f>
        <v>14588323.559999997</v>
      </c>
      <c r="F157" s="111">
        <f>('MUN_LEI 9478'!F157*0.17)/0.225</f>
        <v>18797949.428888891</v>
      </c>
      <c r="G157" s="111">
        <f>('MUN_LEI 9478'!G157*0.17)/0.225</f>
        <v>19511405.980444446</v>
      </c>
      <c r="H157" s="111">
        <f>('MUN_LEI 9478'!H157*0.17)/0.225</f>
        <v>16759681.07911111</v>
      </c>
      <c r="I157" s="111">
        <f>('MUN_LEI 9478'!I157*0.17)/0.225</f>
        <v>17816876.633333337</v>
      </c>
      <c r="J157" s="111">
        <f>('MUN_LEI 9478'!J157*0.17)/0.225</f>
        <v>16592004.336888891</v>
      </c>
      <c r="K157" s="111">
        <f>('MUN_LEI 9478'!K157*0.17)/0.225</f>
        <v>22826105.027555559</v>
      </c>
      <c r="L157" s="111">
        <f>('MUN_LEI 9478'!L157*0.17)/0.225</f>
        <v>22411091.250666671</v>
      </c>
      <c r="M157" s="111">
        <f>('MUN_LEI 9478'!M157*0.17)/0.225</f>
        <v>23258510.80177778</v>
      </c>
      <c r="N157" s="111">
        <f>('MUN_LEI 9478'!N157*0.17)/0.225</f>
        <v>22729160.306222223</v>
      </c>
      <c r="O157" s="111">
        <f>('MUN_LEI 9478'!O157*0.17)/0.225</f>
        <v>25693618.553333335</v>
      </c>
      <c r="P157" s="111">
        <f>('MUN_LEI 9478'!P157*0.17)/0.225</f>
        <v>25906257.039111111</v>
      </c>
      <c r="Q157" s="112">
        <f t="shared" si="2"/>
        <v>246890983.99733338</v>
      </c>
    </row>
    <row r="158" spans="1:17" x14ac:dyDescent="0.15">
      <c r="A158" s="285"/>
      <c r="B158" s="286"/>
      <c r="C158" s="286"/>
      <c r="D158" s="98" t="s">
        <v>1</v>
      </c>
      <c r="E158" s="111">
        <f>('MUN_LEI 9478'!E158*0.03)/0.075</f>
        <v>8464532.9120000005</v>
      </c>
      <c r="F158" s="111">
        <f>('MUN_LEI 9478'!F158*0.03)/0.075</f>
        <v>8091218.8599999994</v>
      </c>
      <c r="G158" s="111">
        <f>('MUN_LEI 9478'!G158*0.03)/0.075</f>
        <v>8883568.3800000008</v>
      </c>
      <c r="H158" s="111">
        <f>('MUN_LEI 9478'!H158*0.03)/0.075</f>
        <v>8273503.3719999995</v>
      </c>
      <c r="I158" s="111">
        <f>('MUN_LEI 9478'!I158*0.03)/0.075</f>
        <v>8997940.9199999999</v>
      </c>
      <c r="J158" s="111">
        <f>('MUN_LEI 9478'!J158*0.03)/0.075</f>
        <v>9705108.9199999981</v>
      </c>
      <c r="K158" s="111">
        <f>('MUN_LEI 9478'!K158*0.03)/0.075</f>
        <v>12485587.932000002</v>
      </c>
      <c r="L158" s="111">
        <f>('MUN_LEI 9478'!L158*0.03)/0.075</f>
        <v>11690554.319999998</v>
      </c>
      <c r="M158" s="111">
        <f>('MUN_LEI 9478'!M158*0.03)/0.075</f>
        <v>12480066.972000001</v>
      </c>
      <c r="N158" s="111">
        <f>('MUN_LEI 9478'!N158*0.03)/0.075</f>
        <v>10372522.932</v>
      </c>
      <c r="O158" s="111">
        <f>('MUN_LEI 9478'!O158*0.03)/0.075</f>
        <v>12064839.875999998</v>
      </c>
      <c r="P158" s="111">
        <f>('MUN_LEI 9478'!P158*0.03)/0.075</f>
        <v>12045832.080000002</v>
      </c>
      <c r="Q158" s="112">
        <f t="shared" si="2"/>
        <v>123555277.47600001</v>
      </c>
    </row>
    <row r="159" spans="1:17" x14ac:dyDescent="0.15">
      <c r="A159" s="285"/>
      <c r="B159" s="286" t="s">
        <v>5</v>
      </c>
      <c r="C159" s="306">
        <v>0.05</v>
      </c>
      <c r="D159" s="98" t="s">
        <v>6</v>
      </c>
      <c r="E159" s="111">
        <f>'MUN_LEI 9478'!E159</f>
        <v>0</v>
      </c>
      <c r="F159" s="111">
        <f>'MUN_LEI 9478'!F159</f>
        <v>0</v>
      </c>
      <c r="G159" s="111">
        <f>'MUN_LEI 9478'!G159</f>
        <v>0</v>
      </c>
      <c r="H159" s="111">
        <f>'MUN_LEI 9478'!H159</f>
        <v>0</v>
      </c>
      <c r="I159" s="111">
        <f>'MUN_LEI 9478'!I159</f>
        <v>0</v>
      </c>
      <c r="J159" s="111">
        <f>'MUN_LEI 9478'!J159</f>
        <v>0</v>
      </c>
      <c r="K159" s="111">
        <f>'MUN_LEI 9478'!K159</f>
        <v>0</v>
      </c>
      <c r="L159" s="111">
        <f>'MUN_LEI 9478'!L159</f>
        <v>0</v>
      </c>
      <c r="M159" s="111">
        <f>'MUN_LEI 9478'!M159</f>
        <v>0</v>
      </c>
      <c r="N159" s="111">
        <f>'MUN_LEI 9478'!N159</f>
        <v>0</v>
      </c>
      <c r="O159" s="111">
        <f>'MUN_LEI 9478'!O159</f>
        <v>0</v>
      </c>
      <c r="P159" s="111">
        <f>'MUN_LEI 9478'!P159</f>
        <v>0</v>
      </c>
      <c r="Q159" s="112">
        <f t="shared" si="2"/>
        <v>0</v>
      </c>
    </row>
    <row r="160" spans="1:17" x14ac:dyDescent="0.15">
      <c r="A160" s="285"/>
      <c r="B160" s="286"/>
      <c r="C160" s="286"/>
      <c r="D160" s="98" t="s">
        <v>1</v>
      </c>
      <c r="E160" s="111">
        <f>'MUN_LEI 9478'!E160</f>
        <v>0</v>
      </c>
      <c r="F160" s="111">
        <f>'MUN_LEI 9478'!F160</f>
        <v>0</v>
      </c>
      <c r="G160" s="111">
        <f>'MUN_LEI 9478'!G160</f>
        <v>0</v>
      </c>
      <c r="H160" s="111">
        <f>'MUN_LEI 9478'!H160</f>
        <v>0</v>
      </c>
      <c r="I160" s="111">
        <f>'MUN_LEI 9478'!I160</f>
        <v>0</v>
      </c>
      <c r="J160" s="111">
        <f>'MUN_LEI 9478'!J160</f>
        <v>0</v>
      </c>
      <c r="K160" s="111">
        <f>'MUN_LEI 9478'!K160</f>
        <v>0</v>
      </c>
      <c r="L160" s="111">
        <f>'MUN_LEI 9478'!L160</f>
        <v>0</v>
      </c>
      <c r="M160" s="111">
        <f>'MUN_LEI 9478'!M160</f>
        <v>0</v>
      </c>
      <c r="N160" s="111">
        <f>'MUN_LEI 9478'!N160</f>
        <v>0</v>
      </c>
      <c r="O160" s="111">
        <f>'MUN_LEI 9478'!O160</f>
        <v>72913.47</v>
      </c>
      <c r="P160" s="111">
        <f>'MUN_LEI 9478'!P160</f>
        <v>70442.13</v>
      </c>
      <c r="Q160" s="112">
        <f t="shared" si="2"/>
        <v>143355.6</v>
      </c>
    </row>
    <row r="161" spans="1:17" x14ac:dyDescent="0.15">
      <c r="A161" s="285"/>
      <c r="B161" s="286"/>
      <c r="C161" s="286" t="s">
        <v>2</v>
      </c>
      <c r="D161" s="98" t="s">
        <v>6</v>
      </c>
      <c r="E161" s="111">
        <f>'MUN_LEI 9478'!E161</f>
        <v>0</v>
      </c>
      <c r="F161" s="111">
        <f>'MUN_LEI 9478'!F161</f>
        <v>0</v>
      </c>
      <c r="G161" s="111">
        <f>'MUN_LEI 9478'!G161</f>
        <v>0</v>
      </c>
      <c r="H161" s="111">
        <f>'MUN_LEI 9478'!H161</f>
        <v>0</v>
      </c>
      <c r="I161" s="111">
        <f>'MUN_LEI 9478'!I161</f>
        <v>0</v>
      </c>
      <c r="J161" s="111">
        <f>'MUN_LEI 9478'!J161</f>
        <v>0</v>
      </c>
      <c r="K161" s="111">
        <f>'MUN_LEI 9478'!K161</f>
        <v>0</v>
      </c>
      <c r="L161" s="111">
        <f>'MUN_LEI 9478'!L161</f>
        <v>0</v>
      </c>
      <c r="M161" s="111">
        <f>'MUN_LEI 9478'!M161</f>
        <v>0</v>
      </c>
      <c r="N161" s="111">
        <f>'MUN_LEI 9478'!N161</f>
        <v>0</v>
      </c>
      <c r="O161" s="111">
        <f>'MUN_LEI 9478'!O161</f>
        <v>0</v>
      </c>
      <c r="P161" s="111">
        <f>'MUN_LEI 9478'!P161</f>
        <v>0</v>
      </c>
      <c r="Q161" s="112">
        <f t="shared" si="2"/>
        <v>0</v>
      </c>
    </row>
    <row r="162" spans="1:17" x14ac:dyDescent="0.15">
      <c r="A162" s="285"/>
      <c r="B162" s="286"/>
      <c r="C162" s="286"/>
      <c r="D162" s="98" t="s">
        <v>1</v>
      </c>
      <c r="E162" s="111">
        <f>'MUN_LEI 9478'!E162</f>
        <v>0</v>
      </c>
      <c r="F162" s="111">
        <f>'MUN_LEI 9478'!F162</f>
        <v>0</v>
      </c>
      <c r="G162" s="111">
        <f>'MUN_LEI 9478'!G162</f>
        <v>0</v>
      </c>
      <c r="H162" s="111">
        <f>'MUN_LEI 9478'!H162</f>
        <v>0</v>
      </c>
      <c r="I162" s="111">
        <f>'MUN_LEI 9478'!I162</f>
        <v>0</v>
      </c>
      <c r="J162" s="111">
        <f>'MUN_LEI 9478'!J162</f>
        <v>0</v>
      </c>
      <c r="K162" s="111">
        <f>'MUN_LEI 9478'!K162</f>
        <v>0</v>
      </c>
      <c r="L162" s="111">
        <f>'MUN_LEI 9478'!L162</f>
        <v>0</v>
      </c>
      <c r="M162" s="111">
        <f>'MUN_LEI 9478'!M162</f>
        <v>0</v>
      </c>
      <c r="N162" s="111">
        <f>'MUN_LEI 9478'!N162</f>
        <v>0</v>
      </c>
      <c r="O162" s="111">
        <f>'MUN_LEI 9478'!O162</f>
        <v>0</v>
      </c>
      <c r="P162" s="111">
        <f>'MUN_LEI 9478'!P162</f>
        <v>0</v>
      </c>
      <c r="Q162" s="112">
        <f t="shared" si="2"/>
        <v>0</v>
      </c>
    </row>
    <row r="163" spans="1:17" x14ac:dyDescent="0.15">
      <c r="A163" s="285"/>
      <c r="B163" s="307" t="s">
        <v>7</v>
      </c>
      <c r="C163" s="307"/>
      <c r="D163" s="307"/>
      <c r="E163" s="111">
        <v>0</v>
      </c>
      <c r="F163" s="111">
        <v>0</v>
      </c>
      <c r="G163" s="111">
        <v>0</v>
      </c>
      <c r="H163" s="111">
        <v>0</v>
      </c>
      <c r="I163" s="111">
        <v>0</v>
      </c>
      <c r="J163" s="111">
        <v>0</v>
      </c>
      <c r="K163" s="111">
        <v>0</v>
      </c>
      <c r="L163" s="111">
        <v>0</v>
      </c>
      <c r="M163" s="111">
        <v>0</v>
      </c>
      <c r="N163" s="111">
        <v>0</v>
      </c>
      <c r="O163" s="111">
        <v>0</v>
      </c>
      <c r="P163" s="111">
        <v>0</v>
      </c>
      <c r="Q163" s="112">
        <f t="shared" si="2"/>
        <v>0</v>
      </c>
    </row>
    <row r="164" spans="1:17" x14ac:dyDescent="0.15">
      <c r="A164" s="301" t="s">
        <v>28</v>
      </c>
      <c r="B164" s="302"/>
      <c r="C164" s="302"/>
      <c r="D164" s="303"/>
      <c r="E164" s="112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112">
        <f>SUM(Q2:Q163)</f>
        <v>4691888585.9045544</v>
      </c>
    </row>
    <row r="169" spans="1:17" x14ac:dyDescent="0.15">
      <c r="A169" s="114" t="s">
        <v>76</v>
      </c>
      <c r="B169" s="114" t="s">
        <v>206</v>
      </c>
      <c r="C169" s="114" t="s">
        <v>128</v>
      </c>
      <c r="D169" s="114" t="s">
        <v>207</v>
      </c>
      <c r="E169" s="114" t="s">
        <v>28</v>
      </c>
      <c r="F169" s="114" t="s">
        <v>76</v>
      </c>
      <c r="G169" s="114" t="s">
        <v>206</v>
      </c>
      <c r="H169" s="114" t="s">
        <v>128</v>
      </c>
      <c r="I169" s="114" t="s">
        <v>207</v>
      </c>
      <c r="J169" s="114" t="s">
        <v>28</v>
      </c>
    </row>
    <row r="170" spans="1:17" x14ac:dyDescent="0.15">
      <c r="A170" s="285" t="s">
        <v>4</v>
      </c>
      <c r="B170" s="286" t="s">
        <v>3</v>
      </c>
      <c r="C170" s="306">
        <v>0.05</v>
      </c>
      <c r="D170" s="98" t="s">
        <v>208</v>
      </c>
      <c r="E170" s="82">
        <v>453780.16133333341</v>
      </c>
      <c r="F170" s="285" t="s">
        <v>10</v>
      </c>
      <c r="G170" s="286" t="s">
        <v>3</v>
      </c>
      <c r="H170" s="306">
        <v>0.05</v>
      </c>
      <c r="I170" s="98" t="s">
        <v>208</v>
      </c>
      <c r="J170" s="82">
        <v>9214362.7119999975</v>
      </c>
    </row>
    <row r="171" spans="1:17" x14ac:dyDescent="0.15">
      <c r="A171" s="285"/>
      <c r="B171" s="286"/>
      <c r="C171" s="286"/>
      <c r="D171" s="98" t="s">
        <v>23</v>
      </c>
      <c r="E171" s="82">
        <v>29519308.476</v>
      </c>
      <c r="F171" s="285"/>
      <c r="G171" s="286"/>
      <c r="H171" s="286"/>
      <c r="I171" s="98" t="s">
        <v>23</v>
      </c>
      <c r="J171" s="82">
        <v>62818851.32100001</v>
      </c>
    </row>
    <row r="172" spans="1:17" x14ac:dyDescent="0.15">
      <c r="A172" s="285"/>
      <c r="B172" s="286"/>
      <c r="C172" s="286" t="s">
        <v>2</v>
      </c>
      <c r="D172" s="98" t="s">
        <v>208</v>
      </c>
      <c r="E172" s="82">
        <v>390252.408</v>
      </c>
      <c r="F172" s="285"/>
      <c r="G172" s="286"/>
      <c r="H172" s="286" t="s">
        <v>2</v>
      </c>
      <c r="I172" s="98" t="s">
        <v>208</v>
      </c>
      <c r="J172" s="82">
        <v>4627991.4942222228</v>
      </c>
    </row>
    <row r="173" spans="1:17" x14ac:dyDescent="0.15">
      <c r="A173" s="285"/>
      <c r="B173" s="286"/>
      <c r="C173" s="286"/>
      <c r="D173" s="98" t="s">
        <v>23</v>
      </c>
      <c r="E173" s="82">
        <v>569102.31200000003</v>
      </c>
      <c r="F173" s="285"/>
      <c r="G173" s="286"/>
      <c r="H173" s="286"/>
      <c r="I173" s="98" t="s">
        <v>23</v>
      </c>
      <c r="J173" s="82">
        <v>26606558.475999996</v>
      </c>
    </row>
    <row r="174" spans="1:17" x14ac:dyDescent="0.15">
      <c r="A174" s="285"/>
      <c r="B174" s="286" t="s">
        <v>5</v>
      </c>
      <c r="C174" s="306">
        <v>0.05</v>
      </c>
      <c r="D174" s="98" t="s">
        <v>209</v>
      </c>
      <c r="E174" s="82">
        <v>4067247.79</v>
      </c>
      <c r="F174" s="285"/>
      <c r="G174" s="286" t="s">
        <v>5</v>
      </c>
      <c r="H174" s="306">
        <v>0.05</v>
      </c>
      <c r="I174" s="98" t="s">
        <v>209</v>
      </c>
      <c r="J174" s="82">
        <v>29882479.210000001</v>
      </c>
    </row>
    <row r="175" spans="1:17" x14ac:dyDescent="0.15">
      <c r="A175" s="285"/>
      <c r="B175" s="286"/>
      <c r="C175" s="286"/>
      <c r="D175" s="98" t="s">
        <v>23</v>
      </c>
      <c r="E175" s="82">
        <v>7904526.0299999984</v>
      </c>
      <c r="F175" s="285"/>
      <c r="G175" s="286"/>
      <c r="H175" s="286"/>
      <c r="I175" s="98" t="s">
        <v>23</v>
      </c>
      <c r="J175" s="82">
        <v>11928331.809999999</v>
      </c>
    </row>
    <row r="176" spans="1:17" x14ac:dyDescent="0.15">
      <c r="A176" s="285"/>
      <c r="B176" s="286"/>
      <c r="C176" s="286" t="s">
        <v>2</v>
      </c>
      <c r="D176" s="98" t="s">
        <v>209</v>
      </c>
      <c r="E176" s="82">
        <v>2614164.9500000002</v>
      </c>
      <c r="F176" s="285"/>
      <c r="G176" s="286"/>
      <c r="H176" s="286" t="s">
        <v>2</v>
      </c>
      <c r="I176" s="98" t="s">
        <v>209</v>
      </c>
      <c r="J176" s="82">
        <v>19100117.350000001</v>
      </c>
    </row>
    <row r="177" spans="1:10" x14ac:dyDescent="0.15">
      <c r="A177" s="285"/>
      <c r="B177" s="286"/>
      <c r="C177" s="286"/>
      <c r="D177" s="98" t="s">
        <v>23</v>
      </c>
      <c r="E177" s="82">
        <v>2104608.0099999998</v>
      </c>
      <c r="F177" s="285"/>
      <c r="G177" s="286"/>
      <c r="H177" s="286"/>
      <c r="I177" s="98" t="s">
        <v>23</v>
      </c>
      <c r="J177" s="82">
        <v>6999764.25</v>
      </c>
    </row>
    <row r="178" spans="1:10" x14ac:dyDescent="0.15">
      <c r="A178" s="285"/>
      <c r="B178" s="307" t="s">
        <v>7</v>
      </c>
      <c r="C178" s="307"/>
      <c r="D178" s="309"/>
      <c r="E178" s="82">
        <v>0</v>
      </c>
      <c r="F178" s="285"/>
      <c r="G178" s="307" t="s">
        <v>7</v>
      </c>
      <c r="H178" s="307"/>
      <c r="I178" s="309"/>
      <c r="J178" s="82">
        <v>0</v>
      </c>
    </row>
    <row r="179" spans="1:10" x14ac:dyDescent="0.15">
      <c r="A179" s="285" t="s">
        <v>8</v>
      </c>
      <c r="B179" s="286" t="s">
        <v>3</v>
      </c>
      <c r="C179" s="306">
        <v>0.05</v>
      </c>
      <c r="D179" s="98" t="s">
        <v>208</v>
      </c>
      <c r="E179" s="82">
        <v>0</v>
      </c>
      <c r="F179" s="285" t="s">
        <v>11</v>
      </c>
      <c r="G179" s="286" t="s">
        <v>3</v>
      </c>
      <c r="H179" s="306">
        <v>0.05</v>
      </c>
      <c r="I179" s="98" t="s">
        <v>208</v>
      </c>
      <c r="J179" s="82">
        <v>3369876.0963333333</v>
      </c>
    </row>
    <row r="180" spans="1:10" x14ac:dyDescent="0.15">
      <c r="A180" s="285"/>
      <c r="B180" s="286"/>
      <c r="C180" s="286"/>
      <c r="D180" s="98" t="s">
        <v>23</v>
      </c>
      <c r="E180" s="82">
        <v>11515949.763</v>
      </c>
      <c r="F180" s="285"/>
      <c r="G180" s="286"/>
      <c r="H180" s="286"/>
      <c r="I180" s="98" t="s">
        <v>23</v>
      </c>
      <c r="J180" s="82">
        <v>26884807.202999994</v>
      </c>
    </row>
    <row r="181" spans="1:10" x14ac:dyDescent="0.15">
      <c r="A181" s="285"/>
      <c r="B181" s="286"/>
      <c r="C181" s="286" t="s">
        <v>2</v>
      </c>
      <c r="D181" s="98" t="s">
        <v>208</v>
      </c>
      <c r="E181" s="82">
        <v>0</v>
      </c>
      <c r="F181" s="285"/>
      <c r="G181" s="286"/>
      <c r="H181" s="286" t="s">
        <v>2</v>
      </c>
      <c r="I181" s="98" t="s">
        <v>208</v>
      </c>
      <c r="J181" s="82">
        <v>3369878.2288888888</v>
      </c>
    </row>
    <row r="182" spans="1:10" x14ac:dyDescent="0.15">
      <c r="A182" s="285"/>
      <c r="B182" s="286"/>
      <c r="C182" s="286"/>
      <c r="D182" s="98" t="s">
        <v>23</v>
      </c>
      <c r="E182" s="82">
        <v>269867.66800000001</v>
      </c>
      <c r="F182" s="285"/>
      <c r="G182" s="286"/>
      <c r="H182" s="286"/>
      <c r="I182" s="98" t="s">
        <v>23</v>
      </c>
      <c r="J182" s="82">
        <v>584492.34</v>
      </c>
    </row>
    <row r="183" spans="1:10" x14ac:dyDescent="0.15">
      <c r="A183" s="285"/>
      <c r="B183" s="286" t="s">
        <v>5</v>
      </c>
      <c r="C183" s="306">
        <v>0.05</v>
      </c>
      <c r="D183" s="98" t="s">
        <v>209</v>
      </c>
      <c r="E183" s="82">
        <v>36980324.93</v>
      </c>
      <c r="F183" s="285"/>
      <c r="G183" s="286" t="s">
        <v>5</v>
      </c>
      <c r="H183" s="306">
        <v>0.05</v>
      </c>
      <c r="I183" s="98" t="s">
        <v>209</v>
      </c>
      <c r="J183" s="82">
        <v>805728.5</v>
      </c>
    </row>
    <row r="184" spans="1:10" x14ac:dyDescent="0.15">
      <c r="A184" s="285"/>
      <c r="B184" s="286"/>
      <c r="C184" s="286"/>
      <c r="D184" s="98" t="s">
        <v>23</v>
      </c>
      <c r="E184" s="82">
        <v>3275914.9400000004</v>
      </c>
      <c r="F184" s="285"/>
      <c r="G184" s="286"/>
      <c r="H184" s="286"/>
      <c r="I184" s="98" t="s">
        <v>23</v>
      </c>
      <c r="J184" s="82">
        <v>3677761.4699999997</v>
      </c>
    </row>
    <row r="185" spans="1:10" x14ac:dyDescent="0.15">
      <c r="A185" s="285"/>
      <c r="B185" s="286"/>
      <c r="C185" s="286" t="s">
        <v>2</v>
      </c>
      <c r="D185" s="98" t="s">
        <v>209</v>
      </c>
      <c r="E185" s="82">
        <v>26301091.070000004</v>
      </c>
      <c r="F185" s="285"/>
      <c r="G185" s="286"/>
      <c r="H185" s="286" t="s">
        <v>2</v>
      </c>
      <c r="I185" s="98" t="s">
        <v>209</v>
      </c>
      <c r="J185" s="82">
        <v>339001.81000000006</v>
      </c>
    </row>
    <row r="186" spans="1:10" x14ac:dyDescent="0.15">
      <c r="A186" s="285"/>
      <c r="B186" s="286"/>
      <c r="C186" s="286"/>
      <c r="D186" s="98" t="s">
        <v>23</v>
      </c>
      <c r="E186" s="82">
        <v>11540757.040000001</v>
      </c>
      <c r="F186" s="285"/>
      <c r="G186" s="286"/>
      <c r="H186" s="286"/>
      <c r="I186" s="98" t="s">
        <v>23</v>
      </c>
      <c r="J186" s="82">
        <v>236288.24</v>
      </c>
    </row>
    <row r="187" spans="1:10" x14ac:dyDescent="0.15">
      <c r="A187" s="285"/>
      <c r="B187" s="307" t="s">
        <v>7</v>
      </c>
      <c r="C187" s="307"/>
      <c r="D187" s="309"/>
      <c r="E187" s="82">
        <v>0</v>
      </c>
      <c r="F187" s="285"/>
      <c r="G187" s="307" t="s">
        <v>7</v>
      </c>
      <c r="H187" s="307"/>
      <c r="I187" s="309"/>
      <c r="J187" s="82">
        <v>0</v>
      </c>
    </row>
    <row r="188" spans="1:10" x14ac:dyDescent="0.15">
      <c r="A188" s="285" t="s">
        <v>9</v>
      </c>
      <c r="B188" s="286" t="s">
        <v>3</v>
      </c>
      <c r="C188" s="306">
        <v>0.05</v>
      </c>
      <c r="D188" s="98" t="s">
        <v>208</v>
      </c>
      <c r="E188" s="82">
        <v>0</v>
      </c>
      <c r="F188" s="285" t="s">
        <v>12</v>
      </c>
      <c r="G188" s="286" t="s">
        <v>3</v>
      </c>
      <c r="H188" s="306">
        <v>0.05</v>
      </c>
      <c r="I188" s="98" t="s">
        <v>208</v>
      </c>
      <c r="J188" s="82">
        <v>251418220.54133335</v>
      </c>
    </row>
    <row r="189" spans="1:10" x14ac:dyDescent="0.15">
      <c r="A189" s="285"/>
      <c r="B189" s="286"/>
      <c r="C189" s="286"/>
      <c r="D189" s="98" t="s">
        <v>23</v>
      </c>
      <c r="E189" s="82">
        <v>0</v>
      </c>
      <c r="F189" s="285"/>
      <c r="G189" s="286"/>
      <c r="H189" s="286"/>
      <c r="I189" s="98" t="s">
        <v>23</v>
      </c>
      <c r="J189" s="82">
        <v>11968528.068</v>
      </c>
    </row>
    <row r="190" spans="1:10" x14ac:dyDescent="0.15">
      <c r="A190" s="285"/>
      <c r="B190" s="286"/>
      <c r="C190" s="286" t="s">
        <v>2</v>
      </c>
      <c r="D190" s="98" t="s">
        <v>208</v>
      </c>
      <c r="E190" s="82">
        <v>0</v>
      </c>
      <c r="F190" s="285"/>
      <c r="G190" s="286"/>
      <c r="H190" s="286" t="s">
        <v>2</v>
      </c>
      <c r="I190" s="98" t="s">
        <v>208</v>
      </c>
      <c r="J190" s="82">
        <v>271153321.67155552</v>
      </c>
    </row>
    <row r="191" spans="1:10" x14ac:dyDescent="0.15">
      <c r="A191" s="285"/>
      <c r="B191" s="286"/>
      <c r="C191" s="286"/>
      <c r="D191" s="98" t="s">
        <v>23</v>
      </c>
      <c r="E191" s="82">
        <v>28545.54</v>
      </c>
      <c r="F191" s="285"/>
      <c r="G191" s="286"/>
      <c r="H191" s="286"/>
      <c r="I191" s="98" t="s">
        <v>23</v>
      </c>
      <c r="J191" s="82">
        <v>8970793.175999999</v>
      </c>
    </row>
    <row r="192" spans="1:10" x14ac:dyDescent="0.15">
      <c r="A192" s="285"/>
      <c r="B192" s="286" t="s">
        <v>5</v>
      </c>
      <c r="C192" s="306">
        <v>0.05</v>
      </c>
      <c r="D192" s="98" t="s">
        <v>209</v>
      </c>
      <c r="E192" s="82">
        <v>0</v>
      </c>
      <c r="F192" s="285"/>
      <c r="G192" s="286" t="s">
        <v>5</v>
      </c>
      <c r="H192" s="306">
        <v>0.05</v>
      </c>
      <c r="I192" s="98" t="s">
        <v>209</v>
      </c>
      <c r="J192" s="82">
        <v>7925823.5700000003</v>
      </c>
    </row>
    <row r="193" spans="1:10" x14ac:dyDescent="0.15">
      <c r="A193" s="285"/>
      <c r="B193" s="286"/>
      <c r="C193" s="286"/>
      <c r="D193" s="98" t="s">
        <v>23</v>
      </c>
      <c r="E193" s="82">
        <v>0</v>
      </c>
      <c r="F193" s="285"/>
      <c r="G193" s="286"/>
      <c r="H193" s="286"/>
      <c r="I193" s="98" t="s">
        <v>23</v>
      </c>
      <c r="J193" s="82">
        <v>3634376.0199999996</v>
      </c>
    </row>
    <row r="194" spans="1:10" x14ac:dyDescent="0.15">
      <c r="A194" s="285"/>
      <c r="B194" s="286"/>
      <c r="C194" s="286" t="s">
        <v>2</v>
      </c>
      <c r="D194" s="98" t="s">
        <v>209</v>
      </c>
      <c r="E194" s="82">
        <v>0</v>
      </c>
      <c r="F194" s="285"/>
      <c r="G194" s="286"/>
      <c r="H194" s="286" t="s">
        <v>2</v>
      </c>
      <c r="I194" s="98" t="s">
        <v>209</v>
      </c>
      <c r="J194" s="82">
        <v>4616687.1500000004</v>
      </c>
    </row>
    <row r="195" spans="1:10" x14ac:dyDescent="0.15">
      <c r="A195" s="285"/>
      <c r="B195" s="286"/>
      <c r="C195" s="286"/>
      <c r="D195" s="98" t="s">
        <v>23</v>
      </c>
      <c r="E195" s="82">
        <v>206841.80999999997</v>
      </c>
      <c r="F195" s="285"/>
      <c r="G195" s="286"/>
      <c r="H195" s="286"/>
      <c r="I195" s="98" t="s">
        <v>23</v>
      </c>
      <c r="J195" s="82">
        <v>2169114.0100000002</v>
      </c>
    </row>
    <row r="196" spans="1:10" x14ac:dyDescent="0.15">
      <c r="A196" s="285"/>
      <c r="B196" s="307" t="s">
        <v>7</v>
      </c>
      <c r="C196" s="307"/>
      <c r="D196" s="309"/>
      <c r="E196" s="82">
        <v>0</v>
      </c>
      <c r="F196" s="285"/>
      <c r="G196" s="307" t="s">
        <v>7</v>
      </c>
      <c r="H196" s="307"/>
      <c r="I196" s="309"/>
      <c r="J196" s="82">
        <v>0</v>
      </c>
    </row>
    <row r="197" spans="1:10" x14ac:dyDescent="0.15">
      <c r="A197" s="285" t="s">
        <v>13</v>
      </c>
      <c r="B197" s="286" t="s">
        <v>3</v>
      </c>
      <c r="C197" s="306">
        <v>0.05</v>
      </c>
      <c r="D197" s="98" t="s">
        <v>208</v>
      </c>
      <c r="E197" s="82">
        <v>0</v>
      </c>
      <c r="F197" s="285" t="s">
        <v>16</v>
      </c>
      <c r="G197" s="286" t="s">
        <v>3</v>
      </c>
      <c r="H197" s="306">
        <v>0.05</v>
      </c>
      <c r="I197" s="98" t="s">
        <v>208</v>
      </c>
      <c r="J197" s="82">
        <v>0</v>
      </c>
    </row>
    <row r="198" spans="1:10" x14ac:dyDescent="0.15">
      <c r="A198" s="285"/>
      <c r="B198" s="286"/>
      <c r="C198" s="286"/>
      <c r="D198" s="98" t="s">
        <v>23</v>
      </c>
      <c r="E198" s="82">
        <v>14447898.119999999</v>
      </c>
      <c r="F198" s="285"/>
      <c r="G198" s="286"/>
      <c r="H198" s="286"/>
      <c r="I198" s="98" t="s">
        <v>23</v>
      </c>
      <c r="J198" s="82">
        <v>14331746.193</v>
      </c>
    </row>
    <row r="199" spans="1:10" x14ac:dyDescent="0.15">
      <c r="A199" s="285"/>
      <c r="B199" s="286"/>
      <c r="C199" s="286" t="s">
        <v>2</v>
      </c>
      <c r="D199" s="98" t="s">
        <v>208</v>
      </c>
      <c r="E199" s="82">
        <v>0</v>
      </c>
      <c r="F199" s="285"/>
      <c r="G199" s="286"/>
      <c r="H199" s="286" t="s">
        <v>2</v>
      </c>
      <c r="I199" s="98" t="s">
        <v>208</v>
      </c>
      <c r="J199" s="82">
        <v>0</v>
      </c>
    </row>
    <row r="200" spans="1:10" x14ac:dyDescent="0.15">
      <c r="A200" s="285"/>
      <c r="B200" s="286"/>
      <c r="C200" s="286"/>
      <c r="D200" s="98" t="s">
        <v>23</v>
      </c>
      <c r="E200" s="82">
        <v>0</v>
      </c>
      <c r="F200" s="285"/>
      <c r="G200" s="286"/>
      <c r="H200" s="286"/>
      <c r="I200" s="98" t="s">
        <v>23</v>
      </c>
      <c r="J200" s="82">
        <v>54131.90800000001</v>
      </c>
    </row>
    <row r="201" spans="1:10" x14ac:dyDescent="0.15">
      <c r="A201" s="285"/>
      <c r="B201" s="286" t="s">
        <v>5</v>
      </c>
      <c r="C201" s="306">
        <v>0.05</v>
      </c>
      <c r="D201" s="98" t="s">
        <v>209</v>
      </c>
      <c r="E201" s="82">
        <v>8185555.4400000004</v>
      </c>
      <c r="F201" s="285"/>
      <c r="G201" s="286" t="s">
        <v>5</v>
      </c>
      <c r="H201" s="306">
        <v>0.05</v>
      </c>
      <c r="I201" s="98" t="s">
        <v>209</v>
      </c>
      <c r="J201" s="82">
        <v>0</v>
      </c>
    </row>
    <row r="202" spans="1:10" x14ac:dyDescent="0.15">
      <c r="A202" s="285"/>
      <c r="B202" s="286"/>
      <c r="C202" s="286"/>
      <c r="D202" s="98" t="s">
        <v>23</v>
      </c>
      <c r="E202" s="82">
        <v>1448042.75</v>
      </c>
      <c r="F202" s="285"/>
      <c r="G202" s="286"/>
      <c r="H202" s="286"/>
      <c r="I202" s="98" t="s">
        <v>23</v>
      </c>
      <c r="J202" s="82">
        <v>3879249.94</v>
      </c>
    </row>
    <row r="203" spans="1:10" x14ac:dyDescent="0.15">
      <c r="A203" s="285"/>
      <c r="B203" s="286"/>
      <c r="C203" s="286" t="s">
        <v>2</v>
      </c>
      <c r="D203" s="98" t="s">
        <v>209</v>
      </c>
      <c r="E203" s="82">
        <v>6139166.5</v>
      </c>
      <c r="F203" s="285"/>
      <c r="G203" s="286"/>
      <c r="H203" s="286" t="s">
        <v>2</v>
      </c>
      <c r="I203" s="98" t="s">
        <v>209</v>
      </c>
      <c r="J203" s="82">
        <v>0</v>
      </c>
    </row>
    <row r="204" spans="1:10" x14ac:dyDescent="0.15">
      <c r="A204" s="285"/>
      <c r="B204" s="286"/>
      <c r="C204" s="286"/>
      <c r="D204" s="98" t="s">
        <v>23</v>
      </c>
      <c r="E204" s="82">
        <v>4647374.97</v>
      </c>
      <c r="F204" s="285"/>
      <c r="G204" s="286"/>
      <c r="H204" s="286"/>
      <c r="I204" s="98" t="s">
        <v>23</v>
      </c>
      <c r="J204" s="82">
        <v>7986.11</v>
      </c>
    </row>
    <row r="205" spans="1:10" x14ac:dyDescent="0.15">
      <c r="A205" s="285"/>
      <c r="B205" s="307" t="s">
        <v>7</v>
      </c>
      <c r="C205" s="307"/>
      <c r="D205" s="309"/>
      <c r="E205" s="82">
        <v>0</v>
      </c>
      <c r="F205" s="285"/>
      <c r="G205" s="307" t="s">
        <v>7</v>
      </c>
      <c r="H205" s="307"/>
      <c r="I205" s="309"/>
      <c r="J205" s="82">
        <v>0</v>
      </c>
    </row>
    <row r="206" spans="1:10" x14ac:dyDescent="0.15">
      <c r="A206" s="285" t="s">
        <v>14</v>
      </c>
      <c r="B206" s="286" t="s">
        <v>3</v>
      </c>
      <c r="C206" s="306">
        <v>0.05</v>
      </c>
      <c r="D206" s="98" t="s">
        <v>208</v>
      </c>
      <c r="E206" s="82">
        <v>0</v>
      </c>
      <c r="F206" s="285" t="s">
        <v>17</v>
      </c>
      <c r="G206" s="286" t="s">
        <v>3</v>
      </c>
      <c r="H206" s="306">
        <v>0.05</v>
      </c>
      <c r="I206" s="98" t="s">
        <v>208</v>
      </c>
      <c r="J206" s="82">
        <v>0</v>
      </c>
    </row>
    <row r="207" spans="1:10" x14ac:dyDescent="0.15">
      <c r="A207" s="285"/>
      <c r="B207" s="286"/>
      <c r="C207" s="286"/>
      <c r="D207" s="98" t="s">
        <v>23</v>
      </c>
      <c r="E207" s="82">
        <v>2871020.5709999995</v>
      </c>
      <c r="F207" s="285"/>
      <c r="G207" s="286"/>
      <c r="H207" s="286"/>
      <c r="I207" s="98" t="s">
        <v>23</v>
      </c>
      <c r="J207" s="82">
        <v>11030820.851999998</v>
      </c>
    </row>
    <row r="208" spans="1:10" x14ac:dyDescent="0.15">
      <c r="A208" s="285"/>
      <c r="B208" s="286"/>
      <c r="C208" s="286" t="s">
        <v>2</v>
      </c>
      <c r="D208" s="98" t="s">
        <v>208</v>
      </c>
      <c r="E208" s="82">
        <v>0</v>
      </c>
      <c r="F208" s="285"/>
      <c r="G208" s="286"/>
      <c r="H208" s="286" t="s">
        <v>2</v>
      </c>
      <c r="I208" s="98" t="s">
        <v>208</v>
      </c>
      <c r="J208" s="82">
        <v>0</v>
      </c>
    </row>
    <row r="209" spans="1:10" x14ac:dyDescent="0.15">
      <c r="A209" s="285"/>
      <c r="B209" s="286"/>
      <c r="C209" s="286"/>
      <c r="D209" s="98" t="s">
        <v>23</v>
      </c>
      <c r="E209" s="82">
        <v>1228381.9639999997</v>
      </c>
      <c r="F209" s="285"/>
      <c r="G209" s="286"/>
      <c r="H209" s="286"/>
      <c r="I209" s="98" t="s">
        <v>23</v>
      </c>
      <c r="J209" s="82">
        <v>7559916.1680000005</v>
      </c>
    </row>
    <row r="210" spans="1:10" x14ac:dyDescent="0.15">
      <c r="A210" s="285"/>
      <c r="B210" s="286" t="s">
        <v>5</v>
      </c>
      <c r="C210" s="306">
        <v>0.05</v>
      </c>
      <c r="D210" s="98" t="s">
        <v>209</v>
      </c>
      <c r="E210" s="82">
        <v>0</v>
      </c>
      <c r="F210" s="285"/>
      <c r="G210" s="286" t="s">
        <v>5</v>
      </c>
      <c r="H210" s="306">
        <v>0.05</v>
      </c>
      <c r="I210" s="98" t="s">
        <v>209</v>
      </c>
      <c r="J210" s="82">
        <v>0</v>
      </c>
    </row>
    <row r="211" spans="1:10" x14ac:dyDescent="0.15">
      <c r="A211" s="285"/>
      <c r="B211" s="286"/>
      <c r="C211" s="286"/>
      <c r="D211" s="98" t="s">
        <v>23</v>
      </c>
      <c r="E211" s="82">
        <v>70442.13</v>
      </c>
      <c r="F211" s="285"/>
      <c r="G211" s="286"/>
      <c r="H211" s="286"/>
      <c r="I211" s="98" t="s">
        <v>23</v>
      </c>
      <c r="J211" s="82">
        <v>3228402.6799999997</v>
      </c>
    </row>
    <row r="212" spans="1:10" x14ac:dyDescent="0.15">
      <c r="A212" s="285"/>
      <c r="B212" s="286"/>
      <c r="C212" s="286" t="s">
        <v>2</v>
      </c>
      <c r="D212" s="98" t="s">
        <v>209</v>
      </c>
      <c r="E212" s="82">
        <v>0</v>
      </c>
      <c r="F212" s="285"/>
      <c r="G212" s="286"/>
      <c r="H212" s="286" t="s">
        <v>2</v>
      </c>
      <c r="I212" s="98" t="s">
        <v>209</v>
      </c>
      <c r="J212" s="82">
        <v>0</v>
      </c>
    </row>
    <row r="213" spans="1:10" x14ac:dyDescent="0.15">
      <c r="A213" s="285"/>
      <c r="B213" s="286"/>
      <c r="C213" s="286"/>
      <c r="D213" s="98" t="s">
        <v>23</v>
      </c>
      <c r="E213" s="82">
        <v>0</v>
      </c>
      <c r="F213" s="285"/>
      <c r="G213" s="286"/>
      <c r="H213" s="286"/>
      <c r="I213" s="98" t="s">
        <v>23</v>
      </c>
      <c r="J213" s="82">
        <v>1252301.1700000002</v>
      </c>
    </row>
    <row r="214" spans="1:10" x14ac:dyDescent="0.15">
      <c r="A214" s="285"/>
      <c r="B214" s="307" t="s">
        <v>7</v>
      </c>
      <c r="C214" s="307"/>
      <c r="D214" s="309"/>
      <c r="E214" s="82">
        <v>0</v>
      </c>
      <c r="F214" s="285"/>
      <c r="G214" s="307" t="s">
        <v>7</v>
      </c>
      <c r="H214" s="307"/>
      <c r="I214" s="309"/>
      <c r="J214" s="82">
        <v>0</v>
      </c>
    </row>
    <row r="215" spans="1:10" x14ac:dyDescent="0.15">
      <c r="A215" s="285" t="s">
        <v>15</v>
      </c>
      <c r="B215" s="286" t="s">
        <v>3</v>
      </c>
      <c r="C215" s="306">
        <v>0.05</v>
      </c>
      <c r="D215" s="98" t="s">
        <v>208</v>
      </c>
      <c r="E215" s="82">
        <v>0</v>
      </c>
      <c r="F215" s="285" t="s">
        <v>18</v>
      </c>
      <c r="G215" s="286" t="s">
        <v>3</v>
      </c>
      <c r="H215" s="306">
        <v>0.05</v>
      </c>
      <c r="I215" s="98" t="s">
        <v>208</v>
      </c>
      <c r="J215" s="82">
        <v>0</v>
      </c>
    </row>
    <row r="216" spans="1:10" x14ac:dyDescent="0.15">
      <c r="A216" s="285"/>
      <c r="B216" s="286"/>
      <c r="C216" s="286"/>
      <c r="D216" s="98" t="s">
        <v>23</v>
      </c>
      <c r="E216" s="82">
        <v>0</v>
      </c>
      <c r="F216" s="285"/>
      <c r="G216" s="286"/>
      <c r="H216" s="286"/>
      <c r="I216" s="98" t="s">
        <v>23</v>
      </c>
      <c r="J216" s="82">
        <v>154446.264</v>
      </c>
    </row>
    <row r="217" spans="1:10" x14ac:dyDescent="0.15">
      <c r="A217" s="285"/>
      <c r="B217" s="286"/>
      <c r="C217" s="286" t="s">
        <v>2</v>
      </c>
      <c r="D217" s="98" t="s">
        <v>208</v>
      </c>
      <c r="E217" s="82">
        <v>0</v>
      </c>
      <c r="F217" s="285"/>
      <c r="G217" s="286"/>
      <c r="H217" s="286" t="s">
        <v>2</v>
      </c>
      <c r="I217" s="98" t="s">
        <v>208</v>
      </c>
      <c r="J217" s="82">
        <v>0</v>
      </c>
    </row>
    <row r="218" spans="1:10" x14ac:dyDescent="0.15">
      <c r="A218" s="285"/>
      <c r="B218" s="286"/>
      <c r="C218" s="286"/>
      <c r="D218" s="98" t="s">
        <v>23</v>
      </c>
      <c r="E218" s="82">
        <v>161758.06</v>
      </c>
      <c r="F218" s="285"/>
      <c r="G218" s="286"/>
      <c r="H218" s="286"/>
      <c r="I218" s="98" t="s">
        <v>23</v>
      </c>
      <c r="J218" s="82">
        <v>11727.48</v>
      </c>
    </row>
    <row r="219" spans="1:10" x14ac:dyDescent="0.15">
      <c r="A219" s="285"/>
      <c r="B219" s="286" t="s">
        <v>5</v>
      </c>
      <c r="C219" s="306">
        <v>0.05</v>
      </c>
      <c r="D219" s="98" t="s">
        <v>209</v>
      </c>
      <c r="E219" s="82">
        <v>0</v>
      </c>
      <c r="F219" s="285"/>
      <c r="G219" s="286" t="s">
        <v>5</v>
      </c>
      <c r="H219" s="306">
        <v>0.05</v>
      </c>
      <c r="I219" s="98" t="s">
        <v>209</v>
      </c>
      <c r="J219" s="82">
        <v>2142042.3000000003</v>
      </c>
    </row>
    <row r="220" spans="1:10" x14ac:dyDescent="0.15">
      <c r="A220" s="285"/>
      <c r="B220" s="286"/>
      <c r="C220" s="286"/>
      <c r="D220" s="98" t="s">
        <v>23</v>
      </c>
      <c r="E220" s="82">
        <v>0</v>
      </c>
      <c r="F220" s="285"/>
      <c r="G220" s="286"/>
      <c r="H220" s="286"/>
      <c r="I220" s="98" t="s">
        <v>23</v>
      </c>
      <c r="J220" s="82">
        <v>0</v>
      </c>
    </row>
    <row r="221" spans="1:10" x14ac:dyDescent="0.15">
      <c r="A221" s="285"/>
      <c r="B221" s="286"/>
      <c r="C221" s="286" t="s">
        <v>2</v>
      </c>
      <c r="D221" s="98" t="s">
        <v>209</v>
      </c>
      <c r="E221" s="82">
        <v>0</v>
      </c>
      <c r="F221" s="285"/>
      <c r="G221" s="286"/>
      <c r="H221" s="286" t="s">
        <v>2</v>
      </c>
      <c r="I221" s="98" t="s">
        <v>209</v>
      </c>
      <c r="J221" s="82">
        <v>0</v>
      </c>
    </row>
    <row r="222" spans="1:10" x14ac:dyDescent="0.15">
      <c r="A222" s="285"/>
      <c r="B222" s="286"/>
      <c r="C222" s="286"/>
      <c r="D222" s="98" t="s">
        <v>23</v>
      </c>
      <c r="E222" s="82">
        <v>1172103.5900000001</v>
      </c>
      <c r="F222" s="285"/>
      <c r="G222" s="286"/>
      <c r="H222" s="286"/>
      <c r="I222" s="98" t="s">
        <v>23</v>
      </c>
      <c r="J222" s="82">
        <v>0</v>
      </c>
    </row>
    <row r="223" spans="1:10" x14ac:dyDescent="0.15">
      <c r="A223" s="285"/>
      <c r="B223" s="307" t="s">
        <v>7</v>
      </c>
      <c r="C223" s="307"/>
      <c r="D223" s="309"/>
      <c r="E223" s="82">
        <v>0</v>
      </c>
      <c r="F223" s="285"/>
      <c r="G223" s="307" t="s">
        <v>7</v>
      </c>
      <c r="H223" s="307"/>
      <c r="I223" s="309"/>
      <c r="J223" s="82">
        <v>0</v>
      </c>
    </row>
    <row r="224" spans="1:10" x14ac:dyDescent="0.15">
      <c r="A224" s="285" t="s">
        <v>19</v>
      </c>
      <c r="B224" s="286" t="s">
        <v>3</v>
      </c>
      <c r="C224" s="306">
        <v>0.05</v>
      </c>
      <c r="D224" s="98" t="s">
        <v>208</v>
      </c>
      <c r="E224" s="82">
        <v>1341412892.9143336</v>
      </c>
      <c r="F224" s="285" t="s">
        <v>21</v>
      </c>
      <c r="G224" s="286" t="s">
        <v>3</v>
      </c>
      <c r="H224" s="306">
        <v>0.05</v>
      </c>
      <c r="I224" s="98" t="s">
        <v>208</v>
      </c>
      <c r="J224" s="82">
        <v>0</v>
      </c>
    </row>
    <row r="225" spans="1:10" x14ac:dyDescent="0.15">
      <c r="A225" s="285"/>
      <c r="B225" s="286"/>
      <c r="C225" s="286"/>
      <c r="D225" s="98" t="s">
        <v>23</v>
      </c>
      <c r="E225" s="82">
        <v>17287504.865999997</v>
      </c>
      <c r="F225" s="285"/>
      <c r="G225" s="286"/>
      <c r="H225" s="286"/>
      <c r="I225" s="98" t="s">
        <v>23</v>
      </c>
      <c r="J225" s="82">
        <v>3717411.6119999993</v>
      </c>
    </row>
    <row r="226" spans="1:10" x14ac:dyDescent="0.15">
      <c r="A226" s="285"/>
      <c r="B226" s="286"/>
      <c r="C226" s="286" t="s">
        <v>2</v>
      </c>
      <c r="D226" s="98" t="s">
        <v>208</v>
      </c>
      <c r="E226" s="82">
        <v>1307054817.3715553</v>
      </c>
      <c r="F226" s="285"/>
      <c r="G226" s="286"/>
      <c r="H226" s="286" t="s">
        <v>2</v>
      </c>
      <c r="I226" s="98" t="s">
        <v>208</v>
      </c>
      <c r="J226" s="82">
        <v>0</v>
      </c>
    </row>
    <row r="227" spans="1:10" x14ac:dyDescent="0.15">
      <c r="A227" s="285"/>
      <c r="B227" s="286"/>
      <c r="C227" s="286"/>
      <c r="D227" s="98" t="s">
        <v>23</v>
      </c>
      <c r="E227" s="82">
        <v>105945209.112</v>
      </c>
      <c r="F227" s="285"/>
      <c r="G227" s="286"/>
      <c r="H227" s="286"/>
      <c r="I227" s="98" t="s">
        <v>23</v>
      </c>
      <c r="J227" s="82">
        <v>22479900.579999998</v>
      </c>
    </row>
    <row r="228" spans="1:10" x14ac:dyDescent="0.15">
      <c r="A228" s="285"/>
      <c r="B228" s="286" t="s">
        <v>5</v>
      </c>
      <c r="C228" s="306">
        <v>0.05</v>
      </c>
      <c r="D228" s="98" t="s">
        <v>209</v>
      </c>
      <c r="E228" s="82">
        <v>0</v>
      </c>
      <c r="F228" s="285"/>
      <c r="G228" s="286" t="s">
        <v>5</v>
      </c>
      <c r="H228" s="306">
        <v>0.05</v>
      </c>
      <c r="I228" s="98" t="s">
        <v>209</v>
      </c>
      <c r="J228" s="82">
        <v>0</v>
      </c>
    </row>
    <row r="229" spans="1:10" x14ac:dyDescent="0.15">
      <c r="A229" s="285"/>
      <c r="B229" s="286"/>
      <c r="C229" s="286"/>
      <c r="D229" s="98" t="s">
        <v>23</v>
      </c>
      <c r="E229" s="82">
        <v>175358.59</v>
      </c>
      <c r="F229" s="285"/>
      <c r="G229" s="286"/>
      <c r="H229" s="286"/>
      <c r="I229" s="98" t="s">
        <v>23</v>
      </c>
      <c r="J229" s="82">
        <v>0</v>
      </c>
    </row>
    <row r="230" spans="1:10" x14ac:dyDescent="0.15">
      <c r="A230" s="285"/>
      <c r="B230" s="286"/>
      <c r="C230" s="286" t="s">
        <v>2</v>
      </c>
      <c r="D230" s="98" t="s">
        <v>209</v>
      </c>
      <c r="E230" s="82">
        <v>0</v>
      </c>
      <c r="F230" s="285"/>
      <c r="G230" s="286"/>
      <c r="H230" s="286" t="s">
        <v>2</v>
      </c>
      <c r="I230" s="98" t="s">
        <v>209</v>
      </c>
      <c r="J230" s="82">
        <v>0</v>
      </c>
    </row>
    <row r="231" spans="1:10" x14ac:dyDescent="0.15">
      <c r="A231" s="285"/>
      <c r="B231" s="286"/>
      <c r="C231" s="286"/>
      <c r="D231" s="98" t="s">
        <v>23</v>
      </c>
      <c r="E231" s="82">
        <v>12.7</v>
      </c>
      <c r="F231" s="285"/>
      <c r="G231" s="286"/>
      <c r="H231" s="286"/>
      <c r="I231" s="98" t="s">
        <v>23</v>
      </c>
      <c r="J231" s="82">
        <v>0</v>
      </c>
    </row>
    <row r="232" spans="1:10" x14ac:dyDescent="0.15">
      <c r="A232" s="285"/>
      <c r="B232" s="307" t="s">
        <v>7</v>
      </c>
      <c r="C232" s="307"/>
      <c r="D232" s="309"/>
      <c r="E232" s="82">
        <v>0</v>
      </c>
      <c r="F232" s="285"/>
      <c r="G232" s="307" t="s">
        <v>7</v>
      </c>
      <c r="H232" s="307"/>
      <c r="I232" s="309"/>
      <c r="J232" s="82">
        <v>0</v>
      </c>
    </row>
    <row r="233" spans="1:10" x14ac:dyDescent="0.15">
      <c r="A233" s="285" t="s">
        <v>24</v>
      </c>
      <c r="B233" s="286" t="s">
        <v>3</v>
      </c>
      <c r="C233" s="306">
        <v>0.05</v>
      </c>
      <c r="D233" s="98" t="s">
        <v>208</v>
      </c>
      <c r="E233" s="82">
        <v>4507341.5516666668</v>
      </c>
      <c r="F233" s="285" t="s">
        <v>25</v>
      </c>
      <c r="G233" s="286" t="s">
        <v>3</v>
      </c>
      <c r="H233" s="306">
        <v>0.05</v>
      </c>
      <c r="I233" s="98" t="s">
        <v>208</v>
      </c>
      <c r="J233" s="82">
        <v>5341761.4936666675</v>
      </c>
    </row>
    <row r="234" spans="1:10" x14ac:dyDescent="0.15">
      <c r="A234" s="285"/>
      <c r="B234" s="286"/>
      <c r="C234" s="286"/>
      <c r="D234" s="98" t="s">
        <v>23</v>
      </c>
      <c r="E234" s="82">
        <v>50309974.035000004</v>
      </c>
      <c r="F234" s="285"/>
      <c r="G234" s="286"/>
      <c r="H234" s="286"/>
      <c r="I234" s="98" t="s">
        <v>23</v>
      </c>
      <c r="J234" s="82">
        <v>47871187.601999991</v>
      </c>
    </row>
    <row r="235" spans="1:10" x14ac:dyDescent="0.15">
      <c r="A235" s="285"/>
      <c r="B235" s="286"/>
      <c r="C235" s="286" t="s">
        <v>2</v>
      </c>
      <c r="D235" s="98" t="s">
        <v>208</v>
      </c>
      <c r="E235" s="82">
        <v>4258160.7706666663</v>
      </c>
      <c r="F235" s="285"/>
      <c r="G235" s="286"/>
      <c r="H235" s="286" t="s">
        <v>2</v>
      </c>
      <c r="I235" s="98" t="s">
        <v>208</v>
      </c>
      <c r="J235" s="82">
        <v>5000118.3360000001</v>
      </c>
    </row>
    <row r="236" spans="1:10" x14ac:dyDescent="0.15">
      <c r="A236" s="285"/>
      <c r="B236" s="286"/>
      <c r="C236" s="286"/>
      <c r="D236" s="98" t="s">
        <v>23</v>
      </c>
      <c r="E236" s="82">
        <v>1627339.9959999998</v>
      </c>
      <c r="F236" s="285"/>
      <c r="G236" s="286"/>
      <c r="H236" s="286"/>
      <c r="I236" s="98" t="s">
        <v>23</v>
      </c>
      <c r="J236" s="82">
        <v>937452.3600000001</v>
      </c>
    </row>
    <row r="237" spans="1:10" x14ac:dyDescent="0.15">
      <c r="A237" s="285"/>
      <c r="B237" s="286" t="s">
        <v>5</v>
      </c>
      <c r="C237" s="306">
        <v>0.05</v>
      </c>
      <c r="D237" s="98" t="s">
        <v>209</v>
      </c>
      <c r="E237" s="82">
        <v>30233824.170000002</v>
      </c>
      <c r="F237" s="285"/>
      <c r="G237" s="286" t="s">
        <v>5</v>
      </c>
      <c r="H237" s="306">
        <v>0.05</v>
      </c>
      <c r="I237" s="98" t="s">
        <v>209</v>
      </c>
      <c r="J237" s="82">
        <v>11460222.58</v>
      </c>
    </row>
    <row r="238" spans="1:10" x14ac:dyDescent="0.15">
      <c r="A238" s="285"/>
      <c r="B238" s="286"/>
      <c r="C238" s="286"/>
      <c r="D238" s="98" t="s">
        <v>23</v>
      </c>
      <c r="E238" s="82">
        <v>13626750.1</v>
      </c>
      <c r="F238" s="285"/>
      <c r="G238" s="286"/>
      <c r="H238" s="286"/>
      <c r="I238" s="98" t="s">
        <v>23</v>
      </c>
      <c r="J238" s="82">
        <v>12668742.210000001</v>
      </c>
    </row>
    <row r="239" spans="1:10" x14ac:dyDescent="0.15">
      <c r="A239" s="285"/>
      <c r="B239" s="286"/>
      <c r="C239" s="286" t="s">
        <v>2</v>
      </c>
      <c r="D239" s="98" t="s">
        <v>209</v>
      </c>
      <c r="E239" s="82">
        <v>19050165.290000003</v>
      </c>
      <c r="F239" s="285"/>
      <c r="G239" s="286"/>
      <c r="H239" s="286" t="s">
        <v>2</v>
      </c>
      <c r="I239" s="98" t="s">
        <v>209</v>
      </c>
      <c r="J239" s="82">
        <v>8084818.9500000011</v>
      </c>
    </row>
    <row r="240" spans="1:10" x14ac:dyDescent="0.15">
      <c r="A240" s="285"/>
      <c r="B240" s="286"/>
      <c r="C240" s="286"/>
      <c r="D240" s="98" t="s">
        <v>23</v>
      </c>
      <c r="E240" s="82">
        <v>9324720.5199999996</v>
      </c>
      <c r="F240" s="285"/>
      <c r="G240" s="286"/>
      <c r="H240" s="286"/>
      <c r="I240" s="98" t="s">
        <v>23</v>
      </c>
      <c r="J240" s="82">
        <v>3430255.81</v>
      </c>
    </row>
    <row r="241" spans="1:10" x14ac:dyDescent="0.15">
      <c r="A241" s="285"/>
      <c r="B241" s="307" t="s">
        <v>7</v>
      </c>
      <c r="C241" s="307"/>
      <c r="D241" s="309"/>
      <c r="E241" s="82">
        <v>0</v>
      </c>
      <c r="F241" s="285"/>
      <c r="G241" s="307" t="s">
        <v>7</v>
      </c>
      <c r="H241" s="307"/>
      <c r="I241" s="309"/>
      <c r="J241" s="82">
        <v>0</v>
      </c>
    </row>
    <row r="242" spans="1:10" x14ac:dyDescent="0.15">
      <c r="A242" s="285" t="s">
        <v>20</v>
      </c>
      <c r="B242" s="286" t="s">
        <v>3</v>
      </c>
      <c r="C242" s="306">
        <v>0.05</v>
      </c>
      <c r="D242" s="98" t="s">
        <v>208</v>
      </c>
      <c r="E242" s="82">
        <v>0</v>
      </c>
      <c r="F242" s="285" t="s">
        <v>22</v>
      </c>
      <c r="G242" s="286" t="s">
        <v>3</v>
      </c>
      <c r="H242" s="306">
        <v>0.05</v>
      </c>
      <c r="I242" s="98" t="s">
        <v>208</v>
      </c>
      <c r="J242" s="82">
        <v>250826364.32866669</v>
      </c>
    </row>
    <row r="243" spans="1:10" x14ac:dyDescent="0.15">
      <c r="A243" s="285"/>
      <c r="B243" s="286"/>
      <c r="C243" s="286"/>
      <c r="D243" s="98" t="s">
        <v>23</v>
      </c>
      <c r="E243" s="82">
        <v>6982385.9219999993</v>
      </c>
      <c r="F243" s="285"/>
      <c r="G243" s="286"/>
      <c r="H243" s="286"/>
      <c r="I243" s="98" t="s">
        <v>23</v>
      </c>
      <c r="J243" s="82">
        <v>17629015.875</v>
      </c>
    </row>
    <row r="244" spans="1:10" x14ac:dyDescent="0.15">
      <c r="A244" s="285"/>
      <c r="B244" s="286"/>
      <c r="C244" s="286" t="s">
        <v>2</v>
      </c>
      <c r="D244" s="98" t="s">
        <v>208</v>
      </c>
      <c r="E244" s="82">
        <v>0</v>
      </c>
      <c r="F244" s="285"/>
      <c r="G244" s="286"/>
      <c r="H244" s="286" t="s">
        <v>2</v>
      </c>
      <c r="I244" s="98" t="s">
        <v>208</v>
      </c>
      <c r="J244" s="82">
        <v>246890983.99733338</v>
      </c>
    </row>
    <row r="245" spans="1:10" x14ac:dyDescent="0.15">
      <c r="A245" s="285"/>
      <c r="B245" s="286"/>
      <c r="C245" s="286"/>
      <c r="D245" s="98" t="s">
        <v>23</v>
      </c>
      <c r="E245" s="82">
        <v>25774470.008000001</v>
      </c>
      <c r="F245" s="285"/>
      <c r="G245" s="286"/>
      <c r="H245" s="286"/>
      <c r="I245" s="98" t="s">
        <v>23</v>
      </c>
      <c r="J245" s="82">
        <v>123555277.47600001</v>
      </c>
    </row>
    <row r="246" spans="1:10" x14ac:dyDescent="0.15">
      <c r="A246" s="285"/>
      <c r="B246" s="286" t="s">
        <v>5</v>
      </c>
      <c r="C246" s="306">
        <v>0.05</v>
      </c>
      <c r="D246" s="98" t="s">
        <v>209</v>
      </c>
      <c r="E246" s="82">
        <v>0</v>
      </c>
      <c r="F246" s="285"/>
      <c r="G246" s="286" t="s">
        <v>5</v>
      </c>
      <c r="H246" s="306">
        <v>0.05</v>
      </c>
      <c r="I246" s="98" t="s">
        <v>209</v>
      </c>
      <c r="J246" s="82">
        <v>0</v>
      </c>
    </row>
    <row r="247" spans="1:10" x14ac:dyDescent="0.15">
      <c r="A247" s="285"/>
      <c r="B247" s="286"/>
      <c r="C247" s="286"/>
      <c r="D247" s="98" t="s">
        <v>23</v>
      </c>
      <c r="E247" s="82">
        <v>180364.9</v>
      </c>
      <c r="F247" s="285"/>
      <c r="G247" s="286"/>
      <c r="H247" s="286"/>
      <c r="I247" s="98" t="s">
        <v>23</v>
      </c>
      <c r="J247" s="82">
        <v>143355.6</v>
      </c>
    </row>
    <row r="248" spans="1:10" x14ac:dyDescent="0.15">
      <c r="A248" s="285"/>
      <c r="B248" s="286"/>
      <c r="C248" s="286" t="s">
        <v>2</v>
      </c>
      <c r="D248" s="98" t="s">
        <v>209</v>
      </c>
      <c r="E248" s="82">
        <v>0</v>
      </c>
      <c r="F248" s="285"/>
      <c r="G248" s="286"/>
      <c r="H248" s="286" t="s">
        <v>2</v>
      </c>
      <c r="I248" s="98" t="s">
        <v>209</v>
      </c>
      <c r="J248" s="82">
        <v>0</v>
      </c>
    </row>
    <row r="249" spans="1:10" x14ac:dyDescent="0.15">
      <c r="A249" s="285"/>
      <c r="B249" s="286"/>
      <c r="C249" s="286"/>
      <c r="D249" s="98" t="s">
        <v>23</v>
      </c>
      <c r="E249" s="82">
        <v>30471.5</v>
      </c>
      <c r="F249" s="285"/>
      <c r="G249" s="286"/>
      <c r="H249" s="286"/>
      <c r="I249" s="98" t="s">
        <v>23</v>
      </c>
      <c r="J249" s="82">
        <v>0</v>
      </c>
    </row>
    <row r="250" spans="1:10" x14ac:dyDescent="0.15">
      <c r="A250" s="285"/>
      <c r="B250" s="307" t="s">
        <v>7</v>
      </c>
      <c r="C250" s="307"/>
      <c r="D250" s="309"/>
      <c r="E250" s="82">
        <v>0</v>
      </c>
      <c r="F250" s="285"/>
      <c r="G250" s="307" t="s">
        <v>7</v>
      </c>
      <c r="H250" s="307"/>
      <c r="I250" s="309"/>
      <c r="J250" s="82">
        <v>0</v>
      </c>
    </row>
  </sheetData>
  <mergeCells count="289">
    <mergeCell ref="A164:D164"/>
    <mergeCell ref="A188:A196"/>
    <mergeCell ref="B188:B191"/>
    <mergeCell ref="C188:C189"/>
    <mergeCell ref="C190:C191"/>
    <mergeCell ref="B192:B195"/>
    <mergeCell ref="C192:C193"/>
    <mergeCell ref="C194:C195"/>
    <mergeCell ref="B196:D196"/>
    <mergeCell ref="A170:A178"/>
    <mergeCell ref="B170:B173"/>
    <mergeCell ref="C170:C171"/>
    <mergeCell ref="C172:C173"/>
    <mergeCell ref="B174:B177"/>
    <mergeCell ref="C174:C175"/>
    <mergeCell ref="C176:C177"/>
    <mergeCell ref="B178:D178"/>
    <mergeCell ref="A179:A187"/>
    <mergeCell ref="B179:B182"/>
    <mergeCell ref="C179:C180"/>
    <mergeCell ref="C181:C182"/>
    <mergeCell ref="B183:B186"/>
    <mergeCell ref="C183:C184"/>
    <mergeCell ref="C185:C186"/>
    <mergeCell ref="B187:D187"/>
    <mergeCell ref="F179:F187"/>
    <mergeCell ref="G179:G182"/>
    <mergeCell ref="H179:H180"/>
    <mergeCell ref="H181:H182"/>
    <mergeCell ref="G183:G186"/>
    <mergeCell ref="H183:H184"/>
    <mergeCell ref="H185:H186"/>
    <mergeCell ref="G187:I187"/>
    <mergeCell ref="F188:F196"/>
    <mergeCell ref="G188:G191"/>
    <mergeCell ref="H188:H189"/>
    <mergeCell ref="H190:H191"/>
    <mergeCell ref="G192:G195"/>
    <mergeCell ref="H192:H193"/>
    <mergeCell ref="H194:H195"/>
    <mergeCell ref="G196:I196"/>
    <mergeCell ref="F170:F178"/>
    <mergeCell ref="G170:G173"/>
    <mergeCell ref="H170:H171"/>
    <mergeCell ref="H172:H173"/>
    <mergeCell ref="G174:G177"/>
    <mergeCell ref="H174:H175"/>
    <mergeCell ref="H176:H177"/>
    <mergeCell ref="G178:I178"/>
    <mergeCell ref="A215:A223"/>
    <mergeCell ref="B215:B218"/>
    <mergeCell ref="C215:C216"/>
    <mergeCell ref="C217:C218"/>
    <mergeCell ref="B219:B222"/>
    <mergeCell ref="C219:C220"/>
    <mergeCell ref="C221:C222"/>
    <mergeCell ref="B223:D223"/>
    <mergeCell ref="A197:A205"/>
    <mergeCell ref="B197:B200"/>
    <mergeCell ref="C197:C198"/>
    <mergeCell ref="C199:C200"/>
    <mergeCell ref="B201:B204"/>
    <mergeCell ref="C201:C202"/>
    <mergeCell ref="C203:C204"/>
    <mergeCell ref="B205:D205"/>
    <mergeCell ref="A206:A214"/>
    <mergeCell ref="B206:B209"/>
    <mergeCell ref="C206:C207"/>
    <mergeCell ref="C208:C209"/>
    <mergeCell ref="B210:B213"/>
    <mergeCell ref="C210:C211"/>
    <mergeCell ref="C212:C213"/>
    <mergeCell ref="B214:D214"/>
    <mergeCell ref="F206:F214"/>
    <mergeCell ref="G206:G209"/>
    <mergeCell ref="H206:H207"/>
    <mergeCell ref="H208:H209"/>
    <mergeCell ref="G210:G213"/>
    <mergeCell ref="H210:H211"/>
    <mergeCell ref="H212:H213"/>
    <mergeCell ref="G214:I214"/>
    <mergeCell ref="F215:F223"/>
    <mergeCell ref="G215:G218"/>
    <mergeCell ref="H215:H216"/>
    <mergeCell ref="H217:H218"/>
    <mergeCell ref="G219:G222"/>
    <mergeCell ref="H219:H220"/>
    <mergeCell ref="H221:H222"/>
    <mergeCell ref="G223:I223"/>
    <mergeCell ref="F197:F205"/>
    <mergeCell ref="G197:G200"/>
    <mergeCell ref="H197:H198"/>
    <mergeCell ref="H199:H200"/>
    <mergeCell ref="G201:G204"/>
    <mergeCell ref="H201:H202"/>
    <mergeCell ref="H203:H204"/>
    <mergeCell ref="G205:I205"/>
    <mergeCell ref="A242:A250"/>
    <mergeCell ref="B242:B245"/>
    <mergeCell ref="C242:C243"/>
    <mergeCell ref="C244:C245"/>
    <mergeCell ref="B246:B249"/>
    <mergeCell ref="C246:C247"/>
    <mergeCell ref="C248:C249"/>
    <mergeCell ref="B250:D250"/>
    <mergeCell ref="A224:A232"/>
    <mergeCell ref="B224:B227"/>
    <mergeCell ref="C224:C225"/>
    <mergeCell ref="C226:C227"/>
    <mergeCell ref="B228:B231"/>
    <mergeCell ref="C228:C229"/>
    <mergeCell ref="C230:C231"/>
    <mergeCell ref="B232:D232"/>
    <mergeCell ref="A233:A241"/>
    <mergeCell ref="B233:B236"/>
    <mergeCell ref="C233:C234"/>
    <mergeCell ref="C235:C236"/>
    <mergeCell ref="B237:B240"/>
    <mergeCell ref="C237:C238"/>
    <mergeCell ref="C239:C240"/>
    <mergeCell ref="B241:D241"/>
    <mergeCell ref="F233:F241"/>
    <mergeCell ref="G237:G240"/>
    <mergeCell ref="H237:H238"/>
    <mergeCell ref="H239:H240"/>
    <mergeCell ref="G241:I241"/>
    <mergeCell ref="F242:F250"/>
    <mergeCell ref="G242:G245"/>
    <mergeCell ref="H242:H243"/>
    <mergeCell ref="H244:H245"/>
    <mergeCell ref="G246:G249"/>
    <mergeCell ref="H246:H247"/>
    <mergeCell ref="H248:H249"/>
    <mergeCell ref="G250:I250"/>
    <mergeCell ref="F224:F232"/>
    <mergeCell ref="G224:G227"/>
    <mergeCell ref="H224:H225"/>
    <mergeCell ref="H226:H227"/>
    <mergeCell ref="G228:G231"/>
    <mergeCell ref="H228:H229"/>
    <mergeCell ref="H230:H231"/>
    <mergeCell ref="G232:I232"/>
    <mergeCell ref="G233:G236"/>
    <mergeCell ref="H233:H234"/>
    <mergeCell ref="H235:H236"/>
    <mergeCell ref="A155:A163"/>
    <mergeCell ref="B155:B158"/>
    <mergeCell ref="C155:C156"/>
    <mergeCell ref="C157:C158"/>
    <mergeCell ref="B159:B162"/>
    <mergeCell ref="C159:C160"/>
    <mergeCell ref="C161:C162"/>
    <mergeCell ref="B163:D163"/>
    <mergeCell ref="A146:A154"/>
    <mergeCell ref="B146:B149"/>
    <mergeCell ref="C146:C147"/>
    <mergeCell ref="C148:C149"/>
    <mergeCell ref="B150:B153"/>
    <mergeCell ref="C150:C151"/>
    <mergeCell ref="C152:C153"/>
    <mergeCell ref="B154:D154"/>
    <mergeCell ref="A137:A145"/>
    <mergeCell ref="B137:B140"/>
    <mergeCell ref="C137:C138"/>
    <mergeCell ref="C139:C140"/>
    <mergeCell ref="B141:B144"/>
    <mergeCell ref="C141:C142"/>
    <mergeCell ref="C143:C144"/>
    <mergeCell ref="B145:D145"/>
    <mergeCell ref="A128:A136"/>
    <mergeCell ref="B128:B131"/>
    <mergeCell ref="C128:C129"/>
    <mergeCell ref="C130:C131"/>
    <mergeCell ref="B132:B135"/>
    <mergeCell ref="C132:C133"/>
    <mergeCell ref="C134:C135"/>
    <mergeCell ref="B136:D136"/>
    <mergeCell ref="A119:A127"/>
    <mergeCell ref="B119:B122"/>
    <mergeCell ref="C119:C120"/>
    <mergeCell ref="C121:C122"/>
    <mergeCell ref="B123:B126"/>
    <mergeCell ref="C123:C124"/>
    <mergeCell ref="C125:C126"/>
    <mergeCell ref="B127:D127"/>
    <mergeCell ref="A110:A118"/>
    <mergeCell ref="B110:B113"/>
    <mergeCell ref="C110:C111"/>
    <mergeCell ref="C112:C113"/>
    <mergeCell ref="B114:B117"/>
    <mergeCell ref="C114:C115"/>
    <mergeCell ref="C116:C117"/>
    <mergeCell ref="B118:D118"/>
    <mergeCell ref="A101:A109"/>
    <mergeCell ref="B101:B104"/>
    <mergeCell ref="C101:C102"/>
    <mergeCell ref="C103:C104"/>
    <mergeCell ref="B105:B108"/>
    <mergeCell ref="C105:C106"/>
    <mergeCell ref="C107:C108"/>
    <mergeCell ref="B109:D109"/>
    <mergeCell ref="A92:A100"/>
    <mergeCell ref="B92:B95"/>
    <mergeCell ref="C92:C93"/>
    <mergeCell ref="C94:C95"/>
    <mergeCell ref="B96:B99"/>
    <mergeCell ref="C96:C97"/>
    <mergeCell ref="C98:C99"/>
    <mergeCell ref="B100:D100"/>
    <mergeCell ref="A83:A91"/>
    <mergeCell ref="B83:B86"/>
    <mergeCell ref="C83:C84"/>
    <mergeCell ref="C85:C86"/>
    <mergeCell ref="B87:B90"/>
    <mergeCell ref="C87:C88"/>
    <mergeCell ref="C89:C90"/>
    <mergeCell ref="B91:D91"/>
    <mergeCell ref="A74:A82"/>
    <mergeCell ref="B74:B77"/>
    <mergeCell ref="C74:C75"/>
    <mergeCell ref="C76:C77"/>
    <mergeCell ref="B78:B81"/>
    <mergeCell ref="C78:C79"/>
    <mergeCell ref="C80:C81"/>
    <mergeCell ref="B82:D82"/>
    <mergeCell ref="A65:A73"/>
    <mergeCell ref="B65:B68"/>
    <mergeCell ref="C65:C66"/>
    <mergeCell ref="C67:C68"/>
    <mergeCell ref="B69:B72"/>
    <mergeCell ref="C69:C70"/>
    <mergeCell ref="C71:C72"/>
    <mergeCell ref="B73:D73"/>
    <mergeCell ref="A56:A64"/>
    <mergeCell ref="B56:B59"/>
    <mergeCell ref="C56:C57"/>
    <mergeCell ref="C58:C59"/>
    <mergeCell ref="B60:B63"/>
    <mergeCell ref="C60:C61"/>
    <mergeCell ref="C62:C63"/>
    <mergeCell ref="B64:D64"/>
    <mergeCell ref="A47:A55"/>
    <mergeCell ref="B47:B50"/>
    <mergeCell ref="C47:C48"/>
    <mergeCell ref="C49:C50"/>
    <mergeCell ref="B51:B54"/>
    <mergeCell ref="C51:C52"/>
    <mergeCell ref="C53:C54"/>
    <mergeCell ref="B55:D55"/>
    <mergeCell ref="A38:A46"/>
    <mergeCell ref="B38:B41"/>
    <mergeCell ref="C38:C39"/>
    <mergeCell ref="C40:C41"/>
    <mergeCell ref="B42:B45"/>
    <mergeCell ref="C42:C43"/>
    <mergeCell ref="C44:C45"/>
    <mergeCell ref="B46:D46"/>
    <mergeCell ref="A29:A37"/>
    <mergeCell ref="B29:B32"/>
    <mergeCell ref="C29:C30"/>
    <mergeCell ref="C31:C32"/>
    <mergeCell ref="B33:B36"/>
    <mergeCell ref="C33:C34"/>
    <mergeCell ref="C35:C36"/>
    <mergeCell ref="B37:D37"/>
    <mergeCell ref="A20:A28"/>
    <mergeCell ref="B20:B23"/>
    <mergeCell ref="C20:C21"/>
    <mergeCell ref="C22:C23"/>
    <mergeCell ref="B24:B27"/>
    <mergeCell ref="C24:C25"/>
    <mergeCell ref="C26:C27"/>
    <mergeCell ref="B28:D28"/>
    <mergeCell ref="A11:A19"/>
    <mergeCell ref="B11:B14"/>
    <mergeCell ref="C11:C12"/>
    <mergeCell ref="C13:C14"/>
    <mergeCell ref="B15:B18"/>
    <mergeCell ref="C15:C16"/>
    <mergeCell ref="C17:C18"/>
    <mergeCell ref="B19:D19"/>
    <mergeCell ref="A2:A10"/>
    <mergeCell ref="B2:B5"/>
    <mergeCell ref="C2:C3"/>
    <mergeCell ref="C4:C5"/>
    <mergeCell ref="B6:B9"/>
    <mergeCell ref="C6:C7"/>
    <mergeCell ref="C8:C9"/>
    <mergeCell ref="B10:D10"/>
  </mergeCells>
  <pageMargins left="0.511811024" right="0.511811024" top="0.78740157499999996" bottom="0.78740157499999996" header="0.31496062000000002" footer="0.31496062000000002"/>
  <ignoredErrors>
    <ignoredError sqref="Q1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5"/>
  <sheetViews>
    <sheetView topLeftCell="A10" zoomScaleNormal="100" workbookViewId="0">
      <selection activeCell="B16" sqref="B16"/>
    </sheetView>
  </sheetViews>
  <sheetFormatPr defaultRowHeight="12.75" x14ac:dyDescent="0.2"/>
  <cols>
    <col min="1" max="1" width="7.7109375" style="27" bestFit="1" customWidth="1"/>
    <col min="2" max="2" width="26.5703125" style="27" bestFit="1" customWidth="1"/>
    <col min="3" max="3" width="25.140625" style="27" bestFit="1" customWidth="1"/>
    <col min="4" max="5" width="26.5703125" style="27" bestFit="1" customWidth="1"/>
    <col min="6" max="6" width="25.140625" style="27" bestFit="1" customWidth="1"/>
    <col min="7" max="7" width="26.5703125" style="27" bestFit="1" customWidth="1"/>
    <col min="8" max="8" width="9.140625" style="27"/>
    <col min="9" max="9" width="13.140625" style="27" bestFit="1" customWidth="1"/>
    <col min="10" max="11" width="24.7109375" style="27" bestFit="1" customWidth="1"/>
    <col min="12" max="12" width="26.5703125" style="27" bestFit="1" customWidth="1"/>
    <col min="13" max="13" width="19.85546875" style="27" bestFit="1" customWidth="1"/>
    <col min="14" max="14" width="24.7109375" style="27" bestFit="1" customWidth="1"/>
    <col min="15" max="15" width="26.5703125" style="27" bestFit="1" customWidth="1"/>
    <col min="16" max="16" width="18.7109375" style="27" bestFit="1" customWidth="1"/>
    <col min="17" max="16384" width="9.140625" style="27"/>
  </cols>
  <sheetData>
    <row r="1" spans="1:16" x14ac:dyDescent="0.2">
      <c r="A1" s="310" t="s">
        <v>152</v>
      </c>
      <c r="B1" s="312" t="s">
        <v>143</v>
      </c>
      <c r="C1" s="313"/>
      <c r="D1" s="314"/>
      <c r="E1" s="316" t="s">
        <v>205</v>
      </c>
      <c r="F1" s="317"/>
      <c r="G1" s="318"/>
      <c r="I1" s="257" t="s">
        <v>159</v>
      </c>
      <c r="J1" s="257"/>
      <c r="K1" s="257"/>
      <c r="L1" s="257"/>
      <c r="M1" s="257"/>
      <c r="N1" s="257"/>
      <c r="O1" s="257"/>
      <c r="P1" s="257"/>
    </row>
    <row r="2" spans="1:16" x14ac:dyDescent="0.2">
      <c r="A2" s="311"/>
      <c r="B2" s="61" t="s">
        <v>76</v>
      </c>
      <c r="C2" s="218" t="s">
        <v>27</v>
      </c>
      <c r="D2" s="62" t="s">
        <v>28</v>
      </c>
      <c r="E2" s="61" t="s">
        <v>76</v>
      </c>
      <c r="F2" s="218" t="s">
        <v>27</v>
      </c>
      <c r="G2" s="62" t="s">
        <v>28</v>
      </c>
      <c r="I2" s="315" t="s">
        <v>160</v>
      </c>
      <c r="J2" s="315" t="s">
        <v>153</v>
      </c>
      <c r="K2" s="264" t="s">
        <v>26</v>
      </c>
      <c r="L2" s="264"/>
      <c r="M2" s="264"/>
      <c r="N2" s="264" t="s">
        <v>27</v>
      </c>
      <c r="O2" s="264"/>
      <c r="P2" s="264"/>
    </row>
    <row r="3" spans="1:16" x14ac:dyDescent="0.2">
      <c r="A3" s="63" t="s">
        <v>4</v>
      </c>
      <c r="B3" s="64">
        <v>0</v>
      </c>
      <c r="C3" s="65">
        <v>0</v>
      </c>
      <c r="D3" s="66">
        <f>SUM(B3:C3)</f>
        <v>0</v>
      </c>
      <c r="E3" s="67">
        <f t="shared" ref="E3:E11" si="0">B3*34/40</f>
        <v>0</v>
      </c>
      <c r="F3" s="22">
        <f t="shared" ref="F3:F11" si="1">C3*5/10</f>
        <v>0</v>
      </c>
      <c r="G3" s="66">
        <f>SUM(E3:F3)</f>
        <v>0</v>
      </c>
      <c r="I3" s="315"/>
      <c r="J3" s="315"/>
      <c r="K3" s="59" t="s">
        <v>153</v>
      </c>
      <c r="L3" s="59" t="s">
        <v>154</v>
      </c>
      <c r="M3" s="59" t="s">
        <v>165</v>
      </c>
      <c r="N3" s="59" t="s">
        <v>153</v>
      </c>
      <c r="O3" s="59" t="s">
        <v>154</v>
      </c>
      <c r="P3" s="59" t="s">
        <v>165</v>
      </c>
    </row>
    <row r="4" spans="1:16" x14ac:dyDescent="0.2">
      <c r="A4" s="63" t="s">
        <v>8</v>
      </c>
      <c r="B4" s="64">
        <f>1000*44531.32527</f>
        <v>44531325.270000003</v>
      </c>
      <c r="C4" s="65">
        <f>1000*11132.83132</f>
        <v>11132831.319999998</v>
      </c>
      <c r="D4" s="66">
        <f t="shared" ref="D4:D11" si="2">SUM(B4:C4)</f>
        <v>55664156.590000004</v>
      </c>
      <c r="E4" s="67">
        <f t="shared" si="0"/>
        <v>37851626.479500003</v>
      </c>
      <c r="F4" s="22">
        <f t="shared" si="1"/>
        <v>5566415.6599999992</v>
      </c>
      <c r="G4" s="66">
        <f t="shared" ref="G4:G11" si="3">SUM(E4:F4)</f>
        <v>43418042.1395</v>
      </c>
      <c r="I4" s="68" t="s">
        <v>155</v>
      </c>
      <c r="J4" s="69">
        <v>351304529.56999999</v>
      </c>
      <c r="K4" s="69">
        <f>J4*0.4</f>
        <v>140521811.82800001</v>
      </c>
      <c r="L4" s="69">
        <f>K4*0.2/0.4</f>
        <v>70260905.914000005</v>
      </c>
      <c r="M4" s="69">
        <f>K4*34/40</f>
        <v>119443540.05380002</v>
      </c>
      <c r="N4" s="70">
        <f>J4*0.1</f>
        <v>35130452.957000002</v>
      </c>
      <c r="O4" s="70">
        <f>N4*4/10</f>
        <v>14052181.182800001</v>
      </c>
      <c r="P4" s="70">
        <f>N4*5/10</f>
        <v>17565226.478500001</v>
      </c>
    </row>
    <row r="5" spans="1:16" x14ac:dyDescent="0.2">
      <c r="A5" s="63" t="s">
        <v>10</v>
      </c>
      <c r="B5" s="64">
        <f>1000*6983.57652</f>
        <v>6983576.5199999996</v>
      </c>
      <c r="C5" s="65">
        <f>1000*1745.89413</f>
        <v>1745894.13</v>
      </c>
      <c r="D5" s="66">
        <f t="shared" si="2"/>
        <v>8729470.6499999985</v>
      </c>
      <c r="E5" s="67">
        <f t="shared" si="0"/>
        <v>5936040.0419999994</v>
      </c>
      <c r="F5" s="22">
        <f t="shared" si="1"/>
        <v>872947.06499999983</v>
      </c>
      <c r="G5" s="66">
        <f t="shared" si="3"/>
        <v>6808987.1069999989</v>
      </c>
      <c r="I5" s="68" t="s">
        <v>156</v>
      </c>
      <c r="J5" s="69">
        <v>300301970.99000001</v>
      </c>
      <c r="K5" s="69">
        <f t="shared" ref="K5:K7" si="4">J5*0.4</f>
        <v>120120788.39600001</v>
      </c>
      <c r="L5" s="69">
        <f t="shared" ref="L5:L7" si="5">K5*0.2/0.4</f>
        <v>60060394.198000006</v>
      </c>
      <c r="M5" s="69">
        <f t="shared" ref="M5:M7" si="6">K5*34/40</f>
        <v>102102670.1366</v>
      </c>
      <c r="N5" s="70">
        <f t="shared" ref="N5:N7" si="7">J5*0.1</f>
        <v>30030197.099000003</v>
      </c>
      <c r="O5" s="70">
        <f t="shared" ref="O5:O6" si="8">N5*4/10</f>
        <v>12012078.839600001</v>
      </c>
      <c r="P5" s="70">
        <f t="shared" ref="P5:P7" si="9">N5*5/10</f>
        <v>15015098.5495</v>
      </c>
    </row>
    <row r="6" spans="1:16" x14ac:dyDescent="0.2">
      <c r="A6" s="63" t="s">
        <v>12</v>
      </c>
      <c r="B6" s="64">
        <f>1000*1082730.74881+K8</f>
        <v>1797369318.826</v>
      </c>
      <c r="C6" s="65">
        <f>1000*270682.68716+N8</f>
        <v>449342329.66399997</v>
      </c>
      <c r="D6" s="66">
        <f t="shared" si="2"/>
        <v>2246711648.4899998</v>
      </c>
      <c r="E6" s="67">
        <f t="shared" si="0"/>
        <v>1527763921.0021</v>
      </c>
      <c r="F6" s="22">
        <f t="shared" si="1"/>
        <v>224671164.83199996</v>
      </c>
      <c r="G6" s="66">
        <f t="shared" si="3"/>
        <v>1752435085.8341</v>
      </c>
      <c r="I6" s="68" t="s">
        <v>157</v>
      </c>
      <c r="J6" s="69">
        <v>524867880.49000001</v>
      </c>
      <c r="K6" s="69">
        <f t="shared" si="4"/>
        <v>209947152.19600001</v>
      </c>
      <c r="L6" s="69">
        <f t="shared" si="5"/>
        <v>104973576.098</v>
      </c>
      <c r="M6" s="69">
        <f t="shared" si="6"/>
        <v>178455079.36660001</v>
      </c>
      <c r="N6" s="70">
        <f t="shared" si="7"/>
        <v>52486788.049000002</v>
      </c>
      <c r="O6" s="70">
        <f t="shared" si="8"/>
        <v>20994715.219599999</v>
      </c>
      <c r="P6" s="70">
        <f t="shared" si="9"/>
        <v>26243394.024500001</v>
      </c>
    </row>
    <row r="7" spans="1:16" x14ac:dyDescent="0.2">
      <c r="A7" s="63" t="s">
        <v>13</v>
      </c>
      <c r="B7" s="64">
        <f>1000*9.00005</f>
        <v>9000.0499999999993</v>
      </c>
      <c r="C7" s="65">
        <v>0</v>
      </c>
      <c r="D7" s="66">
        <f t="shared" si="2"/>
        <v>9000.0499999999993</v>
      </c>
      <c r="E7" s="67">
        <f t="shared" si="0"/>
        <v>7650.0424999999987</v>
      </c>
      <c r="F7" s="22">
        <f t="shared" si="1"/>
        <v>0</v>
      </c>
      <c r="G7" s="66">
        <f t="shared" si="3"/>
        <v>7650.0424999999987</v>
      </c>
      <c r="I7" s="68" t="s">
        <v>158</v>
      </c>
      <c r="J7" s="69">
        <v>610122043.99000001</v>
      </c>
      <c r="K7" s="69">
        <f t="shared" si="4"/>
        <v>244048817.59600002</v>
      </c>
      <c r="L7" s="69">
        <f t="shared" si="5"/>
        <v>122024408.79800001</v>
      </c>
      <c r="M7" s="69">
        <f t="shared" si="6"/>
        <v>207441494.95660001</v>
      </c>
      <c r="N7" s="70">
        <f t="shared" si="7"/>
        <v>61012204.399000004</v>
      </c>
      <c r="O7" s="70">
        <f>N7*4/10</f>
        <v>24404881.759600002</v>
      </c>
      <c r="P7" s="70">
        <f t="shared" si="9"/>
        <v>30506102.199500002</v>
      </c>
    </row>
    <row r="8" spans="1:16" x14ac:dyDescent="0.2">
      <c r="A8" s="63" t="s">
        <v>19</v>
      </c>
      <c r="B8" s="64">
        <f>1000*9111788.52221</f>
        <v>9111788522.210001</v>
      </c>
      <c r="C8" s="65">
        <f>1000*2277949.3806</f>
        <v>2277949380.5999999</v>
      </c>
      <c r="D8" s="66">
        <f t="shared" si="2"/>
        <v>11389737902.810001</v>
      </c>
      <c r="E8" s="67">
        <f t="shared" si="0"/>
        <v>7745020243.8785</v>
      </c>
      <c r="F8" s="22">
        <f t="shared" si="1"/>
        <v>1138974690.3</v>
      </c>
      <c r="G8" s="66">
        <f t="shared" si="3"/>
        <v>8883994934.1784992</v>
      </c>
      <c r="I8" s="60"/>
      <c r="J8" s="71">
        <f>SUM(J4:J7)</f>
        <v>1786596425.04</v>
      </c>
      <c r="K8" s="71">
        <f>SUM(K4:K7)</f>
        <v>714638570.01600003</v>
      </c>
      <c r="L8" s="72">
        <f>SUM(L4:L7)</f>
        <v>357319285.00800002</v>
      </c>
      <c r="M8" s="72">
        <f>SUM(M4:M7)</f>
        <v>607442784.51360011</v>
      </c>
      <c r="N8" s="71">
        <f>SUM(N4:N7)</f>
        <v>178659642.50400001</v>
      </c>
      <c r="O8" s="73">
        <f>N8*4/10</f>
        <v>71463857.001599997</v>
      </c>
      <c r="P8" s="73">
        <f>SUM(P4:P7)</f>
        <v>89329821.252000004</v>
      </c>
    </row>
    <row r="9" spans="1:16" x14ac:dyDescent="0.2">
      <c r="A9" s="63" t="s">
        <v>24</v>
      </c>
      <c r="B9" s="64">
        <v>0</v>
      </c>
      <c r="C9" s="65">
        <v>0</v>
      </c>
      <c r="D9" s="66">
        <f t="shared" si="2"/>
        <v>0</v>
      </c>
      <c r="E9" s="67">
        <f t="shared" si="0"/>
        <v>0</v>
      </c>
      <c r="F9" s="22">
        <f t="shared" si="1"/>
        <v>0</v>
      </c>
      <c r="G9" s="66">
        <f t="shared" si="3"/>
        <v>0</v>
      </c>
      <c r="P9" s="74"/>
    </row>
    <row r="10" spans="1:16" x14ac:dyDescent="0.2">
      <c r="A10" s="63" t="s">
        <v>25</v>
      </c>
      <c r="B10" s="64">
        <v>0</v>
      </c>
      <c r="C10" s="65">
        <v>0</v>
      </c>
      <c r="D10" s="66">
        <f t="shared" si="2"/>
        <v>0</v>
      </c>
      <c r="E10" s="67">
        <f t="shared" si="0"/>
        <v>0</v>
      </c>
      <c r="F10" s="22">
        <f t="shared" si="1"/>
        <v>0</v>
      </c>
      <c r="G10" s="66">
        <f t="shared" si="3"/>
        <v>0</v>
      </c>
    </row>
    <row r="11" spans="1:16" x14ac:dyDescent="0.2">
      <c r="A11" s="63" t="s">
        <v>22</v>
      </c>
      <c r="B11" s="64">
        <f>1000*1580793.69906</f>
        <v>1580793699.0599999</v>
      </c>
      <c r="C11" s="65">
        <f>1000*395198.42474</f>
        <v>395198424.74000001</v>
      </c>
      <c r="D11" s="66">
        <f t="shared" si="2"/>
        <v>1975992123.8</v>
      </c>
      <c r="E11" s="67">
        <f t="shared" si="0"/>
        <v>1343674644.201</v>
      </c>
      <c r="F11" s="22">
        <f t="shared" si="1"/>
        <v>197599212.37</v>
      </c>
      <c r="G11" s="66">
        <f t="shared" si="3"/>
        <v>1541273856.5710001</v>
      </c>
      <c r="I11" s="27" t="s">
        <v>266</v>
      </c>
    </row>
    <row r="12" spans="1:16" ht="13.5" thickBot="1" x14ac:dyDescent="0.25">
      <c r="A12" s="75" t="s">
        <v>28</v>
      </c>
      <c r="B12" s="76">
        <f t="shared" ref="B12:D12" si="10">SUM(B3:B11)</f>
        <v>12541475441.936001</v>
      </c>
      <c r="C12" s="77">
        <f t="shared" si="10"/>
        <v>3135368860.4539995</v>
      </c>
      <c r="D12" s="78">
        <f t="shared" si="10"/>
        <v>15676844302.389999</v>
      </c>
      <c r="E12" s="76">
        <f t="shared" ref="E12:G12" si="11">SUM(E3:E11)</f>
        <v>10660254125.645599</v>
      </c>
      <c r="F12" s="77">
        <f t="shared" si="11"/>
        <v>1567684430.2269998</v>
      </c>
      <c r="G12" s="78">
        <f t="shared" si="11"/>
        <v>12227938555.872601</v>
      </c>
      <c r="K12" s="38"/>
      <c r="L12" s="38"/>
      <c r="M12" s="38"/>
    </row>
    <row r="13" spans="1:16" x14ac:dyDescent="0.2">
      <c r="D13" s="38"/>
      <c r="K13" s="38"/>
    </row>
    <row r="14" spans="1:16" x14ac:dyDescent="0.2">
      <c r="D14" s="38"/>
    </row>
    <row r="15" spans="1:16" x14ac:dyDescent="0.2">
      <c r="A15" s="27" t="s">
        <v>267</v>
      </c>
    </row>
  </sheetData>
  <mergeCells count="8">
    <mergeCell ref="A1:A2"/>
    <mergeCell ref="K2:M2"/>
    <mergeCell ref="N2:P2"/>
    <mergeCell ref="I1:P1"/>
    <mergeCell ref="B1:D1"/>
    <mergeCell ref="I2:I3"/>
    <mergeCell ref="J2:J3"/>
    <mergeCell ref="E1:G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ignoredErrors>
    <ignoredError sqref="O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7"/>
  <sheetViews>
    <sheetView zoomScale="120" zoomScaleNormal="120" workbookViewId="0">
      <selection activeCell="A4" sqref="A4"/>
    </sheetView>
  </sheetViews>
  <sheetFormatPr defaultRowHeight="10.5" x14ac:dyDescent="0.15"/>
  <cols>
    <col min="1" max="1" width="10.85546875" style="88" customWidth="1"/>
    <col min="2" max="2" width="18.5703125" style="88" customWidth="1"/>
    <col min="3" max="3" width="13.85546875" style="88" bestFit="1" customWidth="1"/>
    <col min="4" max="4" width="20" style="88" bestFit="1" customWidth="1"/>
    <col min="5" max="5" width="13.85546875" style="88" bestFit="1" customWidth="1"/>
    <col min="6" max="6" width="20" style="88" bestFit="1" customWidth="1"/>
    <col min="7" max="7" width="13.85546875" style="88" bestFit="1" customWidth="1"/>
    <col min="8" max="8" width="18.85546875" style="88" bestFit="1" customWidth="1"/>
    <col min="9" max="9" width="13.85546875" style="88" bestFit="1" customWidth="1"/>
    <col min="10" max="10" width="21.85546875" style="88" bestFit="1" customWidth="1"/>
    <col min="11" max="12" width="18.85546875" style="88" bestFit="1" customWidth="1"/>
    <col min="13" max="15" width="9.140625" style="88"/>
    <col min="16" max="16" width="25.85546875" style="88" bestFit="1" customWidth="1"/>
    <col min="17" max="17" width="19.5703125" style="88" bestFit="1" customWidth="1"/>
    <col min="18" max="18" width="32" style="88" bestFit="1" customWidth="1"/>
    <col min="19" max="19" width="19.5703125" style="88" bestFit="1" customWidth="1"/>
    <col min="20" max="16384" width="9.140625" style="88"/>
  </cols>
  <sheetData>
    <row r="1" spans="1:19" x14ac:dyDescent="0.15">
      <c r="A1" s="325" t="s">
        <v>264</v>
      </c>
      <c r="B1" s="326"/>
      <c r="C1" s="322" t="s">
        <v>126</v>
      </c>
      <c r="D1" s="323"/>
      <c r="E1" s="301" t="s">
        <v>127</v>
      </c>
      <c r="F1" s="302"/>
      <c r="G1" s="302"/>
      <c r="H1" s="302"/>
      <c r="I1" s="302"/>
      <c r="J1" s="302"/>
      <c r="K1" s="303"/>
      <c r="L1" s="321" t="s">
        <v>139</v>
      </c>
    </row>
    <row r="2" spans="1:19" x14ac:dyDescent="0.15">
      <c r="A2" s="325"/>
      <c r="B2" s="326"/>
      <c r="C2" s="295" t="s">
        <v>128</v>
      </c>
      <c r="D2" s="295" t="s">
        <v>129</v>
      </c>
      <c r="E2" s="324" t="s">
        <v>130</v>
      </c>
      <c r="F2" s="324"/>
      <c r="G2" s="324" t="s">
        <v>131</v>
      </c>
      <c r="H2" s="324"/>
      <c r="I2" s="324" t="s">
        <v>132</v>
      </c>
      <c r="J2" s="324"/>
      <c r="K2" s="321" t="s">
        <v>28</v>
      </c>
      <c r="L2" s="321"/>
    </row>
    <row r="3" spans="1:19" x14ac:dyDescent="0.15">
      <c r="A3" s="327"/>
      <c r="B3" s="328"/>
      <c r="C3" s="297"/>
      <c r="D3" s="297"/>
      <c r="E3" s="89" t="s">
        <v>128</v>
      </c>
      <c r="F3" s="89" t="s">
        <v>129</v>
      </c>
      <c r="G3" s="89" t="s">
        <v>128</v>
      </c>
      <c r="H3" s="89" t="s">
        <v>129</v>
      </c>
      <c r="I3" s="89" t="s">
        <v>128</v>
      </c>
      <c r="J3" s="89" t="s">
        <v>129</v>
      </c>
      <c r="K3" s="321"/>
      <c r="L3" s="321"/>
    </row>
    <row r="4" spans="1:19" x14ac:dyDescent="0.15">
      <c r="A4" s="87" t="s">
        <v>90</v>
      </c>
      <c r="B4" s="90" t="s">
        <v>91</v>
      </c>
      <c r="C4" s="91">
        <v>3.9578670000000003E-2</v>
      </c>
      <c r="D4" s="92">
        <f ca="1">C4*$B$40</f>
        <v>15389594.182015995</v>
      </c>
      <c r="E4" s="91">
        <v>3.1021110000000001E-2</v>
      </c>
      <c r="F4" s="92">
        <f>E4*$B$42</f>
        <v>4824844.23024501</v>
      </c>
      <c r="G4" s="91">
        <v>0</v>
      </c>
      <c r="H4" s="92">
        <f>G4*$B$43</f>
        <v>0</v>
      </c>
      <c r="I4" s="91">
        <v>3.8782910294813109E-3</v>
      </c>
      <c r="J4" s="92">
        <f>I4*$B$44</f>
        <v>5211708.3120618677</v>
      </c>
      <c r="K4" s="93">
        <f>F4+H4+J4</f>
        <v>10036552.542306878</v>
      </c>
      <c r="L4" s="94">
        <f t="shared" ref="L4:L31" si="0">D4+K4</f>
        <v>25426146.72432287</v>
      </c>
      <c r="P4" s="95"/>
      <c r="Q4" s="95"/>
      <c r="R4" s="95"/>
      <c r="S4" s="95"/>
    </row>
    <row r="5" spans="1:19" x14ac:dyDescent="0.15">
      <c r="A5" s="87" t="s">
        <v>4</v>
      </c>
      <c r="B5" s="90" t="s">
        <v>92</v>
      </c>
      <c r="C5" s="91">
        <v>4.7438639999999997E-2</v>
      </c>
      <c r="D5" s="92">
        <f t="shared" ref="D5:D30" ca="1" si="1">C5*$B$40</f>
        <v>18445829.992436614</v>
      </c>
      <c r="E5" s="91">
        <v>4.3084879999999999E-2</v>
      </c>
      <c r="F5" s="92">
        <f t="shared" ref="F5:F30" si="2">E5*$B$42</f>
        <v>6701173.3196780719</v>
      </c>
      <c r="G5" s="91">
        <v>1.0501440000000001E-2</v>
      </c>
      <c r="H5" s="92">
        <f t="shared" ref="H5:H30" si="3">G5*$B$43</f>
        <v>587999.99063783011</v>
      </c>
      <c r="I5" s="91">
        <v>1.8666246255714922E-2</v>
      </c>
      <c r="J5" s="92">
        <f t="shared" ref="J5:J30" si="4">I5*$B$44</f>
        <v>25083994.477566056</v>
      </c>
      <c r="K5" s="93">
        <f t="shared" ref="K5:K30" si="5">F5+H5+J5</f>
        <v>32373167.787881959</v>
      </c>
      <c r="L5" s="94">
        <f t="shared" si="0"/>
        <v>50818997.780318573</v>
      </c>
    </row>
    <row r="6" spans="1:19" x14ac:dyDescent="0.15">
      <c r="A6" s="87" t="s">
        <v>8</v>
      </c>
      <c r="B6" s="90" t="s">
        <v>93</v>
      </c>
      <c r="C6" s="91">
        <v>4.6228980000000003E-2</v>
      </c>
      <c r="D6" s="92">
        <f t="shared" ca="1" si="1"/>
        <v>17975471.172945775</v>
      </c>
      <c r="E6" s="91">
        <v>5.428695E-2</v>
      </c>
      <c r="F6" s="92">
        <f t="shared" si="2"/>
        <v>8443478.5694354381</v>
      </c>
      <c r="G6" s="91">
        <v>0</v>
      </c>
      <c r="H6" s="92">
        <f t="shared" si="3"/>
        <v>0</v>
      </c>
      <c r="I6" s="91">
        <v>1.4157338798675685E-2</v>
      </c>
      <c r="J6" s="92">
        <f t="shared" si="4"/>
        <v>19024853.919640485</v>
      </c>
      <c r="K6" s="93">
        <f t="shared" si="5"/>
        <v>27468332.489075921</v>
      </c>
      <c r="L6" s="94">
        <f t="shared" si="0"/>
        <v>45443803.662021697</v>
      </c>
    </row>
    <row r="7" spans="1:19" x14ac:dyDescent="0.15">
      <c r="A7" s="87" t="s">
        <v>9</v>
      </c>
      <c r="B7" s="90" t="s">
        <v>94</v>
      </c>
      <c r="C7" s="91">
        <v>3.545446E-2</v>
      </c>
      <c r="D7" s="92">
        <f t="shared" ca="1" si="1"/>
        <v>13785954.690809943</v>
      </c>
      <c r="E7" s="91">
        <v>2.7574319999999999E-2</v>
      </c>
      <c r="F7" s="92">
        <f t="shared" si="2"/>
        <v>4288750.4268844537</v>
      </c>
      <c r="G7" s="91">
        <v>0</v>
      </c>
      <c r="H7" s="92">
        <f t="shared" si="3"/>
        <v>0</v>
      </c>
      <c r="I7" s="91">
        <v>2.6170581743654381E-3</v>
      </c>
      <c r="J7" s="92">
        <f t="shared" si="4"/>
        <v>3516843.8203344322</v>
      </c>
      <c r="K7" s="93">
        <f t="shared" si="5"/>
        <v>7805594.2472188864</v>
      </c>
      <c r="L7" s="94">
        <f t="shared" si="0"/>
        <v>21591548.938028827</v>
      </c>
    </row>
    <row r="8" spans="1:19" x14ac:dyDescent="0.15">
      <c r="A8" s="87" t="s">
        <v>10</v>
      </c>
      <c r="B8" s="90" t="s">
        <v>95</v>
      </c>
      <c r="C8" s="91">
        <v>8.4059040000000002E-2</v>
      </c>
      <c r="D8" s="92">
        <f t="shared" ca="1" si="1"/>
        <v>32685143.612199444</v>
      </c>
      <c r="E8" s="91">
        <v>7.7552780000000002E-2</v>
      </c>
      <c r="F8" s="92">
        <f t="shared" si="2"/>
        <v>12062111.35328364</v>
      </c>
      <c r="G8" s="91">
        <v>0.11341559999999996</v>
      </c>
      <c r="H8" s="92">
        <f t="shared" si="3"/>
        <v>6350402.5865199305</v>
      </c>
      <c r="I8" s="91">
        <v>8.4250354721740445E-2</v>
      </c>
      <c r="J8" s="92">
        <f t="shared" si="4"/>
        <v>113216948.0473929</v>
      </c>
      <c r="K8" s="93">
        <f t="shared" si="5"/>
        <v>131629461.98719648</v>
      </c>
      <c r="L8" s="94">
        <f t="shared" si="0"/>
        <v>164314605.59939593</v>
      </c>
    </row>
    <row r="9" spans="1:19" x14ac:dyDescent="0.15">
      <c r="A9" s="87" t="s">
        <v>11</v>
      </c>
      <c r="B9" s="90" t="s">
        <v>96</v>
      </c>
      <c r="C9" s="91">
        <v>6.4391260000000006E-2</v>
      </c>
      <c r="D9" s="92">
        <f t="shared" ca="1" si="1"/>
        <v>25037611.427283414</v>
      </c>
      <c r="E9" s="91">
        <v>8.6169750000000003E-2</v>
      </c>
      <c r="F9" s="92">
        <f t="shared" si="2"/>
        <v>13402345.084013918</v>
      </c>
      <c r="G9" s="91">
        <v>4.2005760000000003E-2</v>
      </c>
      <c r="H9" s="92">
        <f t="shared" si="3"/>
        <v>2351999.9625513204</v>
      </c>
      <c r="I9" s="91">
        <v>4.1904461611224901E-2</v>
      </c>
      <c r="J9" s="92">
        <f t="shared" si="4"/>
        <v>56311872.737644091</v>
      </c>
      <c r="K9" s="93">
        <f t="shared" si="5"/>
        <v>72066217.784209326</v>
      </c>
      <c r="L9" s="94">
        <f t="shared" si="0"/>
        <v>97103829.211492747</v>
      </c>
    </row>
    <row r="10" spans="1:19" x14ac:dyDescent="0.15">
      <c r="A10" s="87" t="s">
        <v>97</v>
      </c>
      <c r="B10" s="90" t="s">
        <v>98</v>
      </c>
      <c r="C10" s="91">
        <v>6.5158799999999999E-3</v>
      </c>
      <c r="D10" s="92">
        <f t="shared" ca="1" si="1"/>
        <v>2533605.8270455874</v>
      </c>
      <c r="E10" s="91">
        <v>1.7233950000000001E-2</v>
      </c>
      <c r="F10" s="92">
        <f t="shared" si="2"/>
        <v>2680469.0168027836</v>
      </c>
      <c r="G10" s="91">
        <v>0</v>
      </c>
      <c r="H10" s="92">
        <f t="shared" si="3"/>
        <v>0</v>
      </c>
      <c r="I10" s="91">
        <v>0</v>
      </c>
      <c r="J10" s="92">
        <f t="shared" si="4"/>
        <v>0</v>
      </c>
      <c r="K10" s="93">
        <f t="shared" si="5"/>
        <v>2680469.0168027836</v>
      </c>
      <c r="L10" s="94">
        <f t="shared" si="0"/>
        <v>5214074.8438483709</v>
      </c>
    </row>
    <row r="11" spans="1:19" x14ac:dyDescent="0.15">
      <c r="A11" s="87" t="s">
        <v>12</v>
      </c>
      <c r="B11" s="90" t="s">
        <v>99</v>
      </c>
      <c r="C11" s="91">
        <v>2.4027639999999999E-2</v>
      </c>
      <c r="D11" s="92">
        <f t="shared" ca="1" si="1"/>
        <v>9342800.7750531975</v>
      </c>
      <c r="E11" s="91">
        <v>1.7233950000000001E-2</v>
      </c>
      <c r="F11" s="92">
        <f t="shared" si="2"/>
        <v>2680469.0168027836</v>
      </c>
      <c r="G11" s="91">
        <v>2.6253600000000002E-2</v>
      </c>
      <c r="H11" s="92">
        <f t="shared" si="3"/>
        <v>1469999.9765945752</v>
      </c>
      <c r="I11" s="91">
        <v>1.7499605864732745E-2</v>
      </c>
      <c r="J11" s="92">
        <f t="shared" si="4"/>
        <v>23516244.822718188</v>
      </c>
      <c r="K11" s="93">
        <f t="shared" si="5"/>
        <v>27666713.816115547</v>
      </c>
      <c r="L11" s="94">
        <f t="shared" si="0"/>
        <v>37009514.591168746</v>
      </c>
    </row>
    <row r="12" spans="1:19" x14ac:dyDescent="0.15">
      <c r="A12" s="87" t="s">
        <v>100</v>
      </c>
      <c r="B12" s="90" t="s">
        <v>101</v>
      </c>
      <c r="C12" s="91">
        <v>3.2162830000000003E-2</v>
      </c>
      <c r="D12" s="92">
        <f t="shared" ca="1" si="1"/>
        <v>12506051.907382676</v>
      </c>
      <c r="E12" s="91">
        <v>3.1021110000000001E-2</v>
      </c>
      <c r="F12" s="92">
        <f t="shared" si="2"/>
        <v>4824844.23024501</v>
      </c>
      <c r="G12" s="91">
        <v>3.780522E-2</v>
      </c>
      <c r="H12" s="92">
        <f t="shared" si="3"/>
        <v>2116801.9820197141</v>
      </c>
      <c r="I12" s="91">
        <v>3.8562194545167752E-2</v>
      </c>
      <c r="J12" s="92">
        <f t="shared" si="4"/>
        <v>51820481.834566273</v>
      </c>
      <c r="K12" s="93">
        <f t="shared" si="5"/>
        <v>58762128.046830997</v>
      </c>
      <c r="L12" s="94">
        <f t="shared" si="0"/>
        <v>71268179.954213679</v>
      </c>
    </row>
    <row r="13" spans="1:19" x14ac:dyDescent="0.15">
      <c r="A13" s="87" t="s">
        <v>13</v>
      </c>
      <c r="B13" s="90" t="s">
        <v>102</v>
      </c>
      <c r="C13" s="91">
        <v>6.6224980000000003E-2</v>
      </c>
      <c r="D13" s="92">
        <f t="shared" ca="1" si="1"/>
        <v>25750626.964274585</v>
      </c>
      <c r="E13" s="91">
        <v>5.3856099999999997E-2</v>
      </c>
      <c r="F13" s="92">
        <f t="shared" si="2"/>
        <v>8376466.6495975899</v>
      </c>
      <c r="G13" s="91">
        <v>6.5633999999999998E-2</v>
      </c>
      <c r="H13" s="92">
        <f t="shared" si="3"/>
        <v>3674999.9414864378</v>
      </c>
      <c r="I13" s="91">
        <v>4.3701718429765002E-2</v>
      </c>
      <c r="J13" s="92">
        <f t="shared" si="4"/>
        <v>58727054.638355665</v>
      </c>
      <c r="K13" s="93">
        <f t="shared" si="5"/>
        <v>70778521.229439691</v>
      </c>
      <c r="L13" s="94">
        <f t="shared" si="0"/>
        <v>96529148.193714276</v>
      </c>
    </row>
    <row r="14" spans="1:19" x14ac:dyDescent="0.15">
      <c r="A14" s="87" t="s">
        <v>14</v>
      </c>
      <c r="B14" s="90" t="s">
        <v>103</v>
      </c>
      <c r="C14" s="91">
        <v>5.0069740000000001E-2</v>
      </c>
      <c r="D14" s="92">
        <f t="shared" ca="1" si="1"/>
        <v>19468895.225611512</v>
      </c>
      <c r="E14" s="91">
        <v>5.1701850000000001E-2</v>
      </c>
      <c r="F14" s="92">
        <f t="shared" si="2"/>
        <v>8041407.0504083503</v>
      </c>
      <c r="G14" s="91">
        <v>0.10081392</v>
      </c>
      <c r="H14" s="92">
        <f t="shared" si="3"/>
        <v>5644805.2853859039</v>
      </c>
      <c r="I14" s="91">
        <v>0.13369068264228354</v>
      </c>
      <c r="J14" s="92">
        <f t="shared" si="4"/>
        <v>179655636.12310958</v>
      </c>
      <c r="K14" s="93">
        <f t="shared" si="5"/>
        <v>193341848.45890385</v>
      </c>
      <c r="L14" s="94">
        <f t="shared" si="0"/>
        <v>212810743.68451536</v>
      </c>
    </row>
    <row r="15" spans="1:19" x14ac:dyDescent="0.15">
      <c r="A15" s="87" t="s">
        <v>104</v>
      </c>
      <c r="B15" s="90" t="s">
        <v>105</v>
      </c>
      <c r="C15" s="91">
        <v>1.532879E-2</v>
      </c>
      <c r="D15" s="92">
        <f t="shared" ca="1" si="1"/>
        <v>5960378.592846727</v>
      </c>
      <c r="E15" s="91">
        <v>1.551056E-2</v>
      </c>
      <c r="F15" s="92">
        <f t="shared" si="2"/>
        <v>2412422.8927936186</v>
      </c>
      <c r="G15" s="91">
        <v>4.7256499999999996E-3</v>
      </c>
      <c r="H15" s="92">
        <f t="shared" si="3"/>
        <v>264600.10777166381</v>
      </c>
      <c r="I15" s="91">
        <v>1.4188869620053578E-2</v>
      </c>
      <c r="J15" s="92">
        <f t="shared" si="4"/>
        <v>19067225.531933665</v>
      </c>
      <c r="K15" s="93">
        <f t="shared" si="5"/>
        <v>21744248.532498948</v>
      </c>
      <c r="L15" s="94">
        <f t="shared" si="0"/>
        <v>27704627.125345677</v>
      </c>
    </row>
    <row r="16" spans="1:19" x14ac:dyDescent="0.15">
      <c r="A16" s="87" t="s">
        <v>106</v>
      </c>
      <c r="B16" s="90" t="s">
        <v>107</v>
      </c>
      <c r="C16" s="91">
        <v>2.3178600000000001E-2</v>
      </c>
      <c r="D16" s="92">
        <f t="shared" ca="1" si="1"/>
        <v>9012663.8340115007</v>
      </c>
      <c r="E16" s="91">
        <v>1.551056E-2</v>
      </c>
      <c r="F16" s="92">
        <f t="shared" si="2"/>
        <v>2412422.8927936186</v>
      </c>
      <c r="G16" s="91">
        <v>9.4512999999999993E-3</v>
      </c>
      <c r="H16" s="92">
        <f t="shared" si="3"/>
        <v>529200.21554332762</v>
      </c>
      <c r="I16" s="91">
        <v>2.2260759892795141E-2</v>
      </c>
      <c r="J16" s="92">
        <f t="shared" si="4"/>
        <v>29914358.278989226</v>
      </c>
      <c r="K16" s="93">
        <f t="shared" si="5"/>
        <v>32855981.387326173</v>
      </c>
      <c r="L16" s="94">
        <f t="shared" si="0"/>
        <v>41868645.221337676</v>
      </c>
    </row>
    <row r="17" spans="1:12" x14ac:dyDescent="0.15">
      <c r="A17" s="87" t="s">
        <v>15</v>
      </c>
      <c r="B17" s="90" t="s">
        <v>108</v>
      </c>
      <c r="C17" s="91">
        <v>6.3656299999999999E-2</v>
      </c>
      <c r="D17" s="92">
        <f t="shared" ca="1" si="1"/>
        <v>24751832.846547514</v>
      </c>
      <c r="E17" s="91">
        <v>4.6531669999999997E-2</v>
      </c>
      <c r="F17" s="92">
        <f t="shared" si="2"/>
        <v>7237267.1230386281</v>
      </c>
      <c r="G17" s="91">
        <v>5.6707799999999989E-2</v>
      </c>
      <c r="H17" s="92">
        <f t="shared" si="3"/>
        <v>3175201.2932599657</v>
      </c>
      <c r="I17" s="91">
        <v>3.9161280151347864E-2</v>
      </c>
      <c r="J17" s="92">
        <f t="shared" si="4"/>
        <v>52625542.468136907</v>
      </c>
      <c r="K17" s="93">
        <f t="shared" si="5"/>
        <v>63038010.884435505</v>
      </c>
      <c r="L17" s="94">
        <f t="shared" si="0"/>
        <v>87789843.730983019</v>
      </c>
    </row>
    <row r="18" spans="1:12" x14ac:dyDescent="0.15">
      <c r="A18" s="87" t="s">
        <v>16</v>
      </c>
      <c r="B18" s="90" t="s">
        <v>109</v>
      </c>
      <c r="C18" s="91">
        <v>4.4207620000000003E-2</v>
      </c>
      <c r="D18" s="92">
        <f t="shared" ca="1" si="1"/>
        <v>17189494.532099586</v>
      </c>
      <c r="E18" s="91">
        <v>3.4467900000000003E-2</v>
      </c>
      <c r="F18" s="92">
        <f t="shared" si="2"/>
        <v>5360938.0336055672</v>
      </c>
      <c r="G18" s="91">
        <v>1.0501440000000001E-2</v>
      </c>
      <c r="H18" s="92">
        <f t="shared" si="3"/>
        <v>587999.99063783011</v>
      </c>
      <c r="I18" s="91">
        <v>3.0458773451048266E-2</v>
      </c>
      <c r="J18" s="92">
        <f t="shared" si="4"/>
        <v>40930977.475217491</v>
      </c>
      <c r="K18" s="93">
        <f t="shared" si="5"/>
        <v>46879915.499460891</v>
      </c>
      <c r="L18" s="94">
        <f t="shared" si="0"/>
        <v>64069410.031560481</v>
      </c>
    </row>
    <row r="19" spans="1:12" x14ac:dyDescent="0.15">
      <c r="A19" s="87" t="s">
        <v>17</v>
      </c>
      <c r="B19" s="90" t="s">
        <v>110</v>
      </c>
      <c r="C19" s="91">
        <v>6.1813609999999998E-2</v>
      </c>
      <c r="D19" s="92">
        <f t="shared" ca="1" si="1"/>
        <v>24035329.454612944</v>
      </c>
      <c r="E19" s="91">
        <v>5.428695E-2</v>
      </c>
      <c r="F19" s="92">
        <f t="shared" si="2"/>
        <v>8443478.5694354381</v>
      </c>
      <c r="G19" s="91">
        <v>6.6159099999999985E-2</v>
      </c>
      <c r="H19" s="92">
        <f t="shared" si="3"/>
        <v>3704401.5088032931</v>
      </c>
      <c r="I19" s="91">
        <v>4.3417941037363947E-2</v>
      </c>
      <c r="J19" s="92">
        <f t="shared" si="4"/>
        <v>58345710.127717018</v>
      </c>
      <c r="K19" s="93">
        <f t="shared" si="5"/>
        <v>70493590.205955744</v>
      </c>
      <c r="L19" s="94">
        <f t="shared" si="0"/>
        <v>94528919.660568684</v>
      </c>
    </row>
    <row r="20" spans="1:12" x14ac:dyDescent="0.15">
      <c r="A20" s="87" t="s">
        <v>111</v>
      </c>
      <c r="B20" s="90" t="s">
        <v>112</v>
      </c>
      <c r="C20" s="91">
        <v>4.2926039999999999E-2</v>
      </c>
      <c r="D20" s="92">
        <f t="shared" ca="1" si="1"/>
        <v>16691170.659372481</v>
      </c>
      <c r="E20" s="91">
        <v>5.3856099999999997E-2</v>
      </c>
      <c r="F20" s="92">
        <f t="shared" si="2"/>
        <v>8376466.6495975899</v>
      </c>
      <c r="G20" s="91">
        <v>1.3126799999999999E-2</v>
      </c>
      <c r="H20" s="92">
        <f t="shared" si="3"/>
        <v>734999.98829728749</v>
      </c>
      <c r="I20" s="91">
        <v>2.7526407062903845E-2</v>
      </c>
      <c r="J20" s="92">
        <f t="shared" si="4"/>
        <v>36990417.531951182</v>
      </c>
      <c r="K20" s="93">
        <f t="shared" si="5"/>
        <v>46101884.169846058</v>
      </c>
      <c r="L20" s="94">
        <f t="shared" si="0"/>
        <v>62793054.829218537</v>
      </c>
    </row>
    <row r="21" spans="1:12" x14ac:dyDescent="0.15">
      <c r="A21" s="87" t="s">
        <v>18</v>
      </c>
      <c r="B21" s="90" t="s">
        <v>113</v>
      </c>
      <c r="C21" s="91">
        <v>2.446038E-2</v>
      </c>
      <c r="D21" s="92">
        <f t="shared" ca="1" si="1"/>
        <v>9511065.4738499392</v>
      </c>
      <c r="E21" s="91">
        <v>3.1021110000000001E-2</v>
      </c>
      <c r="F21" s="92">
        <f t="shared" si="2"/>
        <v>4824844.23024501</v>
      </c>
      <c r="G21" s="91">
        <v>4.2530849999999988E-2</v>
      </c>
      <c r="H21" s="92">
        <f t="shared" si="3"/>
        <v>2381400.9699449739</v>
      </c>
      <c r="I21" s="91">
        <v>6.5457985180514058E-2</v>
      </c>
      <c r="J21" s="92">
        <f t="shared" si="4"/>
        <v>87963467.12065427</v>
      </c>
      <c r="K21" s="93">
        <f t="shared" si="5"/>
        <v>95169712.320844248</v>
      </c>
      <c r="L21" s="94">
        <f t="shared" si="0"/>
        <v>104680777.79469419</v>
      </c>
    </row>
    <row r="22" spans="1:12" x14ac:dyDescent="0.15">
      <c r="A22" s="87" t="s">
        <v>19</v>
      </c>
      <c r="B22" s="90" t="s">
        <v>114</v>
      </c>
      <c r="C22" s="91">
        <v>2.6822760000000001E-2</v>
      </c>
      <c r="D22" s="92">
        <f t="shared" ca="1" si="1"/>
        <v>10429642.816234384</v>
      </c>
      <c r="E22" s="91">
        <v>3.0159410000000001E-2</v>
      </c>
      <c r="F22" s="92">
        <f t="shared" si="2"/>
        <v>4690820.3905693144</v>
      </c>
      <c r="G22" s="91">
        <v>7.7185709999999991E-2</v>
      </c>
      <c r="H22" s="92">
        <f t="shared" si="3"/>
        <v>4321806.9862203905</v>
      </c>
      <c r="I22" s="91">
        <v>3.0521835093804135E-2</v>
      </c>
      <c r="J22" s="92">
        <f t="shared" si="4"/>
        <v>41015720.699803963</v>
      </c>
      <c r="K22" s="93">
        <f t="shared" si="5"/>
        <v>50028348.076593667</v>
      </c>
      <c r="L22" s="94">
        <f t="shared" si="0"/>
        <v>60457990.892828047</v>
      </c>
    </row>
    <row r="23" spans="1:12" x14ac:dyDescent="0.15">
      <c r="A23" s="87" t="s">
        <v>24</v>
      </c>
      <c r="B23" s="90" t="s">
        <v>115</v>
      </c>
      <c r="C23" s="91">
        <v>3.6573660000000001E-2</v>
      </c>
      <c r="D23" s="92">
        <f t="shared" ca="1" si="1"/>
        <v>14221139.445843711</v>
      </c>
      <c r="E23" s="91">
        <v>3.1021110000000001E-2</v>
      </c>
      <c r="F23" s="92">
        <f t="shared" si="2"/>
        <v>4824844.23024501</v>
      </c>
      <c r="G23" s="91">
        <v>1.8902599999999999E-2</v>
      </c>
      <c r="H23" s="92">
        <f t="shared" si="3"/>
        <v>1058400.4310866552</v>
      </c>
      <c r="I23" s="91">
        <v>2.3080561248620447E-2</v>
      </c>
      <c r="J23" s="92">
        <f t="shared" si="4"/>
        <v>31016020.198612042</v>
      </c>
      <c r="K23" s="93">
        <f t="shared" si="5"/>
        <v>36899264.859943703</v>
      </c>
      <c r="L23" s="94">
        <f t="shared" si="0"/>
        <v>51120404.305787414</v>
      </c>
    </row>
    <row r="24" spans="1:12" x14ac:dyDescent="0.15">
      <c r="A24" s="87" t="s">
        <v>116</v>
      </c>
      <c r="B24" s="90" t="s">
        <v>117</v>
      </c>
      <c r="C24" s="91">
        <v>3.41517E-2</v>
      </c>
      <c r="D24" s="92">
        <f t="shared" ca="1" si="1"/>
        <v>13279395.280992404</v>
      </c>
      <c r="E24" s="91">
        <v>2.4127530000000001E-2</v>
      </c>
      <c r="F24" s="92">
        <f t="shared" si="2"/>
        <v>3752656.623523897</v>
      </c>
      <c r="G24" s="91">
        <v>0</v>
      </c>
      <c r="H24" s="92">
        <f t="shared" si="3"/>
        <v>0</v>
      </c>
      <c r="I24" s="91">
        <v>9.8376162699038133E-3</v>
      </c>
      <c r="J24" s="92">
        <f t="shared" si="4"/>
        <v>13219943.035474008</v>
      </c>
      <c r="K24" s="93">
        <f t="shared" si="5"/>
        <v>16972599.658997905</v>
      </c>
      <c r="L24" s="94">
        <f t="shared" si="0"/>
        <v>30251994.939990308</v>
      </c>
    </row>
    <row r="25" spans="1:12" x14ac:dyDescent="0.15">
      <c r="A25" s="87" t="s">
        <v>118</v>
      </c>
      <c r="B25" s="90" t="s">
        <v>119</v>
      </c>
      <c r="C25" s="91">
        <v>2.4394430000000002E-2</v>
      </c>
      <c r="D25" s="92">
        <f t="shared" ca="1" si="1"/>
        <v>9485421.7688870411</v>
      </c>
      <c r="E25" s="91">
        <v>4.3084879999999999E-2</v>
      </c>
      <c r="F25" s="92">
        <f t="shared" si="2"/>
        <v>6701173.3196780719</v>
      </c>
      <c r="G25" s="91">
        <v>0</v>
      </c>
      <c r="H25" s="92">
        <f t="shared" si="3"/>
        <v>0</v>
      </c>
      <c r="I25" s="91">
        <v>1.8918492826738101E-3</v>
      </c>
      <c r="J25" s="92">
        <f t="shared" si="4"/>
        <v>2542296.7375911549</v>
      </c>
      <c r="K25" s="93">
        <f t="shared" si="5"/>
        <v>9243470.0572692268</v>
      </c>
      <c r="L25" s="94">
        <f t="shared" si="0"/>
        <v>18728891.826156266</v>
      </c>
    </row>
    <row r="26" spans="1:12" x14ac:dyDescent="0.15">
      <c r="A26" s="87" t="s">
        <v>20</v>
      </c>
      <c r="B26" s="90" t="s">
        <v>120</v>
      </c>
      <c r="C26" s="91">
        <v>1.3718620000000001E-2</v>
      </c>
      <c r="D26" s="92">
        <f t="shared" ca="1" si="1"/>
        <v>5334287.2445508726</v>
      </c>
      <c r="E26" s="91">
        <v>2.7143469999999999E-2</v>
      </c>
      <c r="F26" s="92">
        <f t="shared" si="2"/>
        <v>4221738.5070466055</v>
      </c>
      <c r="G26" s="91">
        <v>5.1982149999999984E-2</v>
      </c>
      <c r="H26" s="92">
        <f t="shared" si="3"/>
        <v>2910601.1854883013</v>
      </c>
      <c r="I26" s="91">
        <v>7.52640706290401E-2</v>
      </c>
      <c r="J26" s="92">
        <f t="shared" si="4"/>
        <v>101141038.54383527</v>
      </c>
      <c r="K26" s="93">
        <f t="shared" si="5"/>
        <v>108273378.23637018</v>
      </c>
      <c r="L26" s="94">
        <f t="shared" si="0"/>
        <v>113607665.48092104</v>
      </c>
    </row>
    <row r="27" spans="1:12" x14ac:dyDescent="0.15">
      <c r="A27" s="87" t="s">
        <v>21</v>
      </c>
      <c r="B27" s="90" t="s">
        <v>121</v>
      </c>
      <c r="C27" s="91">
        <v>1.45557E-2</v>
      </c>
      <c r="D27" s="92">
        <f t="shared" ca="1" si="1"/>
        <v>5659773.7123347046</v>
      </c>
      <c r="E27" s="91">
        <v>1.378716E-2</v>
      </c>
      <c r="F27" s="92">
        <f t="shared" si="2"/>
        <v>2144375.2134422269</v>
      </c>
      <c r="G27" s="91">
        <v>3.780522E-2</v>
      </c>
      <c r="H27" s="92">
        <f t="shared" si="3"/>
        <v>2116801.9820197141</v>
      </c>
      <c r="I27" s="91">
        <v>4.7012454674444183E-2</v>
      </c>
      <c r="J27" s="92">
        <f t="shared" si="4"/>
        <v>63176073.929140203</v>
      </c>
      <c r="K27" s="93">
        <f t="shared" si="5"/>
        <v>67437251.124602139</v>
      </c>
      <c r="L27" s="94">
        <f t="shared" si="0"/>
        <v>73097024.836936846</v>
      </c>
    </row>
    <row r="28" spans="1:12" x14ac:dyDescent="0.15">
      <c r="A28" s="87" t="s">
        <v>25</v>
      </c>
      <c r="B28" s="90" t="s">
        <v>122</v>
      </c>
      <c r="C28" s="91">
        <v>3.5543819999999997E-2</v>
      </c>
      <c r="D28" s="92">
        <f t="shared" ca="1" si="1"/>
        <v>13820701.036154669</v>
      </c>
      <c r="E28" s="91">
        <v>3.1021110000000001E-2</v>
      </c>
      <c r="F28" s="92">
        <f t="shared" si="2"/>
        <v>4824844.23024501</v>
      </c>
      <c r="G28" s="91">
        <v>9.4512999999999993E-3</v>
      </c>
      <c r="H28" s="92">
        <f t="shared" si="3"/>
        <v>529200.21554332762</v>
      </c>
      <c r="I28" s="91">
        <v>1.3085290871827186E-2</v>
      </c>
      <c r="J28" s="92">
        <f t="shared" si="4"/>
        <v>17584219.101672154</v>
      </c>
      <c r="K28" s="93">
        <f t="shared" si="5"/>
        <v>22938263.547460493</v>
      </c>
      <c r="L28" s="94">
        <f t="shared" si="0"/>
        <v>36758964.583615161</v>
      </c>
    </row>
    <row r="29" spans="1:12" x14ac:dyDescent="0.15">
      <c r="A29" s="87" t="s">
        <v>22</v>
      </c>
      <c r="B29" s="90" t="s">
        <v>123</v>
      </c>
      <c r="C29" s="91">
        <v>6.5158799999999999E-3</v>
      </c>
      <c r="D29" s="92">
        <f t="shared" ca="1" si="1"/>
        <v>2533605.8270455874</v>
      </c>
      <c r="E29" s="91">
        <v>3.0159410000000001E-2</v>
      </c>
      <c r="F29" s="92">
        <f t="shared" si="2"/>
        <v>4690820.3905693144</v>
      </c>
      <c r="G29" s="91">
        <v>0.19663976999999974</v>
      </c>
      <c r="H29" s="92">
        <f t="shared" si="3"/>
        <v>11010316.958343323</v>
      </c>
      <c r="I29" s="91">
        <v>0.14207788112880371</v>
      </c>
      <c r="J29" s="92">
        <f t="shared" si="4"/>
        <v>190926484.9930965</v>
      </c>
      <c r="K29" s="93">
        <f t="shared" si="5"/>
        <v>206627622.34200913</v>
      </c>
      <c r="L29" s="94">
        <f t="shared" si="0"/>
        <v>209161228.16905472</v>
      </c>
    </row>
    <row r="30" spans="1:12" x14ac:dyDescent="0.15">
      <c r="A30" s="87" t="s">
        <v>124</v>
      </c>
      <c r="B30" s="90" t="s">
        <v>125</v>
      </c>
      <c r="C30" s="91">
        <v>3.5999969999999999E-2</v>
      </c>
      <c r="D30" s="92">
        <f t="shared" ca="1" si="1"/>
        <v>13998068.375333237</v>
      </c>
      <c r="E30" s="91">
        <v>2.7574319999999999E-2</v>
      </c>
      <c r="F30" s="92">
        <f t="shared" si="2"/>
        <v>4288750.4268844537</v>
      </c>
      <c r="G30" s="91">
        <v>8.4007700000000001E-3</v>
      </c>
      <c r="H30" s="92">
        <f t="shared" si="3"/>
        <v>470378.60344396235</v>
      </c>
      <c r="I30" s="91">
        <v>1.5828472331704185E-2</v>
      </c>
      <c r="J30" s="92">
        <f t="shared" si="4"/>
        <v>21270549.371179294</v>
      </c>
      <c r="K30" s="93">
        <f t="shared" si="5"/>
        <v>26029678.401507709</v>
      </c>
      <c r="L30" s="94">
        <f t="shared" si="0"/>
        <v>40027746.776840948</v>
      </c>
    </row>
    <row r="31" spans="1:12" x14ac:dyDescent="0.15">
      <c r="A31" s="324" t="s">
        <v>28</v>
      </c>
      <c r="B31" s="324"/>
      <c r="C31" s="99">
        <f t="shared" ref="C31:K31" ca="1" si="6">SUM(C4:C30)</f>
        <v>0.99999999999999989</v>
      </c>
      <c r="D31" s="100">
        <f t="shared" ca="1" si="6"/>
        <v>388835556.6777761</v>
      </c>
      <c r="E31" s="99">
        <f t="shared" si="6"/>
        <v>0.99999999999999989</v>
      </c>
      <c r="F31" s="100">
        <f t="shared" si="6"/>
        <v>155534222.67111042</v>
      </c>
      <c r="G31" s="99">
        <f t="shared" si="6"/>
        <v>0.99999999999999967</v>
      </c>
      <c r="H31" s="100">
        <f t="shared" si="6"/>
        <v>55992320.161599725</v>
      </c>
      <c r="I31" s="99">
        <f t="shared" si="6"/>
        <v>0.99999999999999978</v>
      </c>
      <c r="J31" s="100">
        <f t="shared" si="6"/>
        <v>1343815683.8783939</v>
      </c>
      <c r="K31" s="101">
        <f t="shared" si="6"/>
        <v>1555342226.7111039</v>
      </c>
      <c r="L31" s="101">
        <f t="shared" si="0"/>
        <v>1944177783.38888</v>
      </c>
    </row>
    <row r="37" spans="1:2" x14ac:dyDescent="0.15">
      <c r="A37" s="307" t="s">
        <v>133</v>
      </c>
      <c r="B37" s="307"/>
    </row>
    <row r="38" spans="1:2" x14ac:dyDescent="0.15">
      <c r="A38" s="319" t="s">
        <v>134</v>
      </c>
      <c r="B38" s="320">
        <f>1944177.78338888*1000</f>
        <v>1944177783.38888</v>
      </c>
    </row>
    <row r="39" spans="1:2" x14ac:dyDescent="0.15">
      <c r="A39" s="319"/>
      <c r="B39" s="320"/>
    </row>
    <row r="40" spans="1:2" x14ac:dyDescent="0.15">
      <c r="A40" s="96" t="s">
        <v>126</v>
      </c>
      <c r="B40" s="79">
        <f>B38*0.2</f>
        <v>388835556.67777604</v>
      </c>
    </row>
    <row r="41" spans="1:2" x14ac:dyDescent="0.15">
      <c r="A41" s="96" t="s">
        <v>127</v>
      </c>
      <c r="B41" s="79">
        <f>B38*0.8</f>
        <v>1555342226.7111042</v>
      </c>
    </row>
    <row r="42" spans="1:2" x14ac:dyDescent="0.15">
      <c r="A42" s="97" t="s">
        <v>135</v>
      </c>
      <c r="B42" s="82">
        <f>B41*0.1</f>
        <v>155534222.67111042</v>
      </c>
    </row>
    <row r="43" spans="1:2" x14ac:dyDescent="0.15">
      <c r="A43" s="97" t="s">
        <v>136</v>
      </c>
      <c r="B43" s="82">
        <f>B41*0.036</f>
        <v>55992320.161599748</v>
      </c>
    </row>
    <row r="44" spans="1:2" x14ac:dyDescent="0.15">
      <c r="A44" s="98" t="s">
        <v>137</v>
      </c>
      <c r="B44" s="82">
        <f>B41*0.864</f>
        <v>1343815683.8783939</v>
      </c>
    </row>
    <row r="46" spans="1:2" x14ac:dyDescent="0.15">
      <c r="A46" s="88" t="s">
        <v>138</v>
      </c>
    </row>
    <row r="47" spans="1:2" x14ac:dyDescent="0.15">
      <c r="A47" s="88" t="s">
        <v>268</v>
      </c>
    </row>
  </sheetData>
  <mergeCells count="14">
    <mergeCell ref="A37:B37"/>
    <mergeCell ref="A38:A39"/>
    <mergeCell ref="B38:B39"/>
    <mergeCell ref="L1:L3"/>
    <mergeCell ref="C1:D1"/>
    <mergeCell ref="E1:K1"/>
    <mergeCell ref="C2:C3"/>
    <mergeCell ref="D2:D3"/>
    <mergeCell ref="E2:F2"/>
    <mergeCell ref="G2:H2"/>
    <mergeCell ref="I2:J2"/>
    <mergeCell ref="K2:K3"/>
    <mergeCell ref="A1:B3"/>
    <mergeCell ref="A31:B3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PERCENTUAIS</vt:lpstr>
      <vt:lpstr>VAL_ESTADOS</vt:lpstr>
      <vt:lpstr>ROYALTY_CAMPO</vt:lpstr>
      <vt:lpstr>EST_LEI 9478</vt:lpstr>
      <vt:lpstr>EST_ACORDO</vt:lpstr>
      <vt:lpstr>MUN_LEI 9478</vt:lpstr>
      <vt:lpstr>MUN_ACORDO</vt:lpstr>
      <vt:lpstr>PE</vt:lpstr>
      <vt:lpstr>FPE_FPM_9478</vt:lpstr>
      <vt:lpstr>FPE_FPM_ACORDO</vt:lpstr>
      <vt:lpstr>FPE_FPM_CONSOLIDADO</vt:lpstr>
      <vt:lpstr>CONSOLIDADO</vt:lpstr>
      <vt:lpstr>BÔNUS DE ASSINATURA</vt:lpstr>
      <vt:lpstr>CONSOLIDADO!Area_de_impressao</vt:lpstr>
    </vt:vector>
  </TitlesOfParts>
  <Company>SEFAZ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kelen.altenerath</dc:creator>
  <cp:lastModifiedBy>teste</cp:lastModifiedBy>
  <cp:lastPrinted>2020-03-06T17:55:11Z</cp:lastPrinted>
  <dcterms:created xsi:type="dcterms:W3CDTF">2019-10-11T12:07:04Z</dcterms:created>
  <dcterms:modified xsi:type="dcterms:W3CDTF">2021-08-24T12:12:32Z</dcterms:modified>
</cp:coreProperties>
</file>