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ECOG\SUFIC\SUFIC-ARQUIVOS\DEMONSTRATIVO DAS TRANSFERÊNCIAS AOS MUNICIPIOS\2024\02 - Fev24\"/>
    </mc:Choice>
  </mc:AlternateContent>
  <bookViews>
    <workbookView xWindow="0" yWindow="0" windowWidth="28800" windowHeight="11700" tabRatio="855"/>
  </bookViews>
  <sheets>
    <sheet name="Publicação " sheetId="14" r:id="rId1"/>
    <sheet name="SECONT" sheetId="28" r:id="rId2"/>
    <sheet name="ICMS" sheetId="2" r:id="rId3"/>
    <sheet name="IPI" sheetId="3" r:id="rId4"/>
    <sheet name="IPI EXP" sheetId="10" r:id="rId5"/>
    <sheet name="ipi CONV" sheetId="27" r:id="rId6"/>
    <sheet name="IPVA" sheetId="8" r:id="rId7"/>
    <sheet name="ROYALTIES" sheetId="19" r:id="rId8"/>
    <sheet name="CIDE" sheetId="18" r:id="rId9"/>
    <sheet name="LC 194 + 201" sheetId="24" r:id="rId10"/>
    <sheet name="Estornos" sheetId="26" r:id="rId11"/>
    <sheet name="Conferência" sheetId="16" r:id="rId12"/>
    <sheet name="Balancete" sheetId="25" r:id="rId13"/>
  </sheets>
  <externalReferences>
    <externalReference r:id="rId14"/>
    <externalReference r:id="rId15"/>
  </externalReferences>
  <definedNames>
    <definedName name="_xlnm.Print_Area" localSheetId="0">'Publicação '!$A$1:$O$192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8" l="1"/>
  <c r="M89" i="14" l="1"/>
  <c r="M12" i="14" l="1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M88" i="14"/>
  <c r="D33" i="27"/>
  <c r="D34" i="27"/>
  <c r="L84" i="2"/>
  <c r="D84" i="2"/>
  <c r="J9" i="28" l="1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J23" i="28"/>
  <c r="J24" i="28"/>
  <c r="J25" i="28"/>
  <c r="J26" i="28"/>
  <c r="J27" i="28"/>
  <c r="J28" i="28"/>
  <c r="J29" i="28"/>
  <c r="J30" i="28"/>
  <c r="J31" i="28"/>
  <c r="J32" i="28"/>
  <c r="J33" i="28"/>
  <c r="J34" i="28"/>
  <c r="J35" i="28"/>
  <c r="J36" i="28"/>
  <c r="J37" i="28"/>
  <c r="J38" i="28"/>
  <c r="J39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2" i="28"/>
  <c r="J53" i="28"/>
  <c r="J54" i="28"/>
  <c r="J55" i="28"/>
  <c r="J56" i="28"/>
  <c r="J57" i="28"/>
  <c r="J58" i="28"/>
  <c r="J59" i="28"/>
  <c r="J60" i="28"/>
  <c r="J61" i="28"/>
  <c r="J62" i="28"/>
  <c r="J63" i="28"/>
  <c r="J64" i="28"/>
  <c r="J65" i="28"/>
  <c r="J66" i="28"/>
  <c r="J67" i="28"/>
  <c r="J68" i="28"/>
  <c r="J69" i="28"/>
  <c r="J70" i="28"/>
  <c r="J71" i="28"/>
  <c r="J72" i="28"/>
  <c r="J73" i="28"/>
  <c r="J74" i="28"/>
  <c r="J75" i="28"/>
  <c r="J76" i="28"/>
  <c r="J77" i="28"/>
  <c r="J78" i="28"/>
  <c r="J79" i="28"/>
  <c r="J80" i="28"/>
  <c r="J81" i="28"/>
  <c r="J82" i="28"/>
  <c r="J83" i="28"/>
  <c r="J84" i="28"/>
  <c r="J85" i="28"/>
  <c r="J8" i="28"/>
  <c r="I86" i="28"/>
  <c r="J86" i="28" l="1"/>
  <c r="A190" i="14" l="1"/>
  <c r="K9" i="28" l="1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2" i="28"/>
  <c r="K53" i="28"/>
  <c r="K54" i="28"/>
  <c r="K55" i="28"/>
  <c r="K56" i="28"/>
  <c r="K57" i="28"/>
  <c r="K58" i="28"/>
  <c r="K59" i="28"/>
  <c r="K60" i="28"/>
  <c r="K61" i="28"/>
  <c r="K62" i="28"/>
  <c r="K63" i="28"/>
  <c r="K64" i="28"/>
  <c r="K65" i="28"/>
  <c r="K66" i="28"/>
  <c r="K67" i="28"/>
  <c r="K68" i="28"/>
  <c r="K69" i="28"/>
  <c r="K70" i="28"/>
  <c r="K71" i="28"/>
  <c r="K72" i="28"/>
  <c r="K73" i="28"/>
  <c r="K74" i="28"/>
  <c r="K75" i="28"/>
  <c r="K76" i="28"/>
  <c r="K77" i="28"/>
  <c r="K78" i="28"/>
  <c r="K79" i="28"/>
  <c r="K80" i="28"/>
  <c r="K81" i="28"/>
  <c r="K82" i="28"/>
  <c r="K83" i="28"/>
  <c r="K84" i="28"/>
  <c r="K85" i="28"/>
  <c r="M11" i="14"/>
  <c r="K8" i="28" s="1"/>
  <c r="K86" i="28" s="1"/>
  <c r="E14" i="16" l="1"/>
  <c r="E11" i="16"/>
  <c r="H26" i="25"/>
  <c r="C4" i="10" l="1"/>
  <c r="C5" i="10"/>
  <c r="C6" i="10"/>
  <c r="C7" i="10"/>
  <c r="G6" i="10" s="1"/>
  <c r="C8" i="10"/>
  <c r="C9" i="10"/>
  <c r="C10" i="10"/>
  <c r="D83" i="24" l="1"/>
  <c r="J4" i="2"/>
  <c r="H82" i="24" l="1"/>
  <c r="H84" i="24" s="1"/>
  <c r="G82" i="24"/>
  <c r="G84" i="24" s="1"/>
  <c r="F82" i="24"/>
  <c r="F84" i="24" s="1"/>
  <c r="D26" i="16" l="1"/>
  <c r="D29" i="16"/>
  <c r="E28" i="16"/>
  <c r="E29" i="16"/>
  <c r="F29" i="16" s="1"/>
  <c r="E26" i="16"/>
  <c r="E25" i="16"/>
  <c r="E8" i="16"/>
  <c r="E7" i="16"/>
  <c r="E5" i="16"/>
  <c r="E4" i="16"/>
  <c r="F26" i="16" l="1"/>
  <c r="E23" i="16" l="1"/>
  <c r="E20" i="16" l="1"/>
  <c r="E18" i="16"/>
  <c r="M185" i="14" l="1"/>
  <c r="M184" i="14"/>
  <c r="M183" i="14"/>
  <c r="M182" i="14"/>
  <c r="M181" i="14"/>
  <c r="M180" i="14"/>
  <c r="M179" i="14"/>
  <c r="M178" i="14"/>
  <c r="M177" i="14"/>
  <c r="M176" i="14"/>
  <c r="M175" i="14"/>
  <c r="M174" i="14"/>
  <c r="M173" i="14"/>
  <c r="M172" i="14"/>
  <c r="M171" i="14"/>
  <c r="M170" i="14"/>
  <c r="M169" i="14"/>
  <c r="M168" i="14"/>
  <c r="M167" i="14"/>
  <c r="M166" i="14"/>
  <c r="M165" i="14"/>
  <c r="M164" i="14"/>
  <c r="M163" i="14"/>
  <c r="M162" i="14"/>
  <c r="M161" i="14"/>
  <c r="M160" i="14"/>
  <c r="M159" i="14"/>
  <c r="M158" i="14"/>
  <c r="M157" i="14"/>
  <c r="M156" i="14"/>
  <c r="M155" i="14"/>
  <c r="M154" i="14"/>
  <c r="M153" i="14"/>
  <c r="M152" i="14"/>
  <c r="M151" i="14"/>
  <c r="M150" i="14"/>
  <c r="M149" i="14"/>
  <c r="M148" i="14"/>
  <c r="M147" i="14"/>
  <c r="M146" i="14"/>
  <c r="M145" i="14"/>
  <c r="M144" i="14"/>
  <c r="M143" i="14"/>
  <c r="M142" i="14"/>
  <c r="M141" i="14"/>
  <c r="M140" i="14"/>
  <c r="M139" i="14"/>
  <c r="M138" i="14"/>
  <c r="M137" i="14"/>
  <c r="M136" i="14"/>
  <c r="M135" i="14"/>
  <c r="M134" i="14"/>
  <c r="M133" i="14"/>
  <c r="M132" i="14"/>
  <c r="M131" i="14"/>
  <c r="M130" i="14"/>
  <c r="M129" i="14"/>
  <c r="M128" i="14"/>
  <c r="M127" i="14"/>
  <c r="M126" i="14"/>
  <c r="M125" i="14"/>
  <c r="M124" i="14"/>
  <c r="M123" i="14"/>
  <c r="M122" i="14"/>
  <c r="M121" i="14"/>
  <c r="M120" i="14"/>
  <c r="M119" i="14"/>
  <c r="M118" i="14"/>
  <c r="M117" i="14"/>
  <c r="M116" i="14"/>
  <c r="M115" i="14"/>
  <c r="M114" i="14"/>
  <c r="M113" i="14"/>
  <c r="M112" i="14"/>
  <c r="M111" i="14"/>
  <c r="M110" i="14"/>
  <c r="M109" i="14"/>
  <c r="M108" i="14"/>
  <c r="M186" i="14" l="1"/>
  <c r="D14" i="16"/>
  <c r="N82" i="24" l="1"/>
  <c r="L82" i="24"/>
  <c r="L84" i="24" s="1"/>
  <c r="K82" i="24"/>
  <c r="D25" i="16" l="1"/>
  <c r="F25" i="16" s="1"/>
  <c r="N84" i="24"/>
  <c r="A98" i="14"/>
  <c r="H85" i="8" l="1"/>
  <c r="D82" i="3"/>
  <c r="D84" i="3" s="1"/>
  <c r="J2" i="8"/>
  <c r="B1" i="8"/>
  <c r="N1" i="8" s="1"/>
  <c r="F1" i="8" l="1"/>
  <c r="J1" i="8"/>
  <c r="D82" i="2" l="1"/>
  <c r="C82" i="2"/>
  <c r="B82" i="2"/>
  <c r="J2" i="2"/>
  <c r="B1" i="2" l="1"/>
  <c r="J1" i="2" l="1"/>
  <c r="B1" i="24"/>
  <c r="A1" i="19"/>
  <c r="N1" i="2"/>
  <c r="P82" i="24"/>
  <c r="M82" i="24"/>
  <c r="K84" i="24"/>
  <c r="F82" i="2"/>
  <c r="J81" i="2"/>
  <c r="P84" i="2"/>
  <c r="H84" i="2"/>
  <c r="M84" i="24" l="1"/>
  <c r="P84" i="24"/>
  <c r="F4" i="26" l="1"/>
  <c r="B82" i="26"/>
  <c r="D4" i="16" l="1"/>
  <c r="D8" i="16" l="1"/>
  <c r="E82" i="26"/>
  <c r="D82" i="26"/>
  <c r="E84" i="26" s="1"/>
  <c r="C82" i="26"/>
  <c r="C84" i="26" l="1"/>
  <c r="B84" i="3"/>
  <c r="A20" i="10"/>
  <c r="A28" i="10"/>
  <c r="A4" i="10" s="1"/>
  <c r="D5" i="10"/>
  <c r="D6" i="10"/>
  <c r="D7" i="10"/>
  <c r="D8" i="10"/>
  <c r="D9" i="10"/>
  <c r="D10" i="10"/>
  <c r="D4" i="10"/>
  <c r="A12" i="10"/>
  <c r="D10" i="27" l="1"/>
  <c r="C20" i="10" s="1"/>
  <c r="E10" i="27"/>
  <c r="D20" i="10" s="1"/>
  <c r="D11" i="27"/>
  <c r="C21" i="10" s="1"/>
  <c r="E11" i="27"/>
  <c r="D21" i="10" s="1"/>
  <c r="D12" i="27"/>
  <c r="C22" i="10" s="1"/>
  <c r="E12" i="27"/>
  <c r="D22" i="10" s="1"/>
  <c r="D13" i="27"/>
  <c r="C23" i="10" s="1"/>
  <c r="E13" i="27"/>
  <c r="D23" i="10" s="1"/>
  <c r="D14" i="27"/>
  <c r="C24" i="10" s="1"/>
  <c r="E14" i="27"/>
  <c r="D24" i="10" s="1"/>
  <c r="D15" i="27"/>
  <c r="C25" i="10" s="1"/>
  <c r="E15" i="27"/>
  <c r="D25" i="10" s="1"/>
  <c r="D16" i="27"/>
  <c r="C26" i="10" s="1"/>
  <c r="E16" i="27"/>
  <c r="D26" i="10" s="1"/>
  <c r="E17" i="27"/>
  <c r="D18" i="27"/>
  <c r="C28" i="10" s="1"/>
  <c r="E18" i="27"/>
  <c r="D28" i="10" s="1"/>
  <c r="D19" i="27"/>
  <c r="C29" i="10" s="1"/>
  <c r="E19" i="27"/>
  <c r="D29" i="10" s="1"/>
  <c r="D20" i="27"/>
  <c r="C30" i="10" s="1"/>
  <c r="E20" i="27"/>
  <c r="D30" i="10" s="1"/>
  <c r="D21" i="27"/>
  <c r="C31" i="10" s="1"/>
  <c r="E21" i="27"/>
  <c r="D31" i="10" s="1"/>
  <c r="D22" i="27"/>
  <c r="C32" i="10" s="1"/>
  <c r="E22" i="27"/>
  <c r="D32" i="10" s="1"/>
  <c r="D23" i="27"/>
  <c r="C33" i="10" s="1"/>
  <c r="E23" i="27"/>
  <c r="D33" i="10" s="1"/>
  <c r="D24" i="27"/>
  <c r="C34" i="10" s="1"/>
  <c r="E24" i="27"/>
  <c r="D34" i="10" s="1"/>
  <c r="E25" i="27"/>
  <c r="D26" i="27"/>
  <c r="E26" i="27"/>
  <c r="D27" i="27"/>
  <c r="E27" i="27"/>
  <c r="D28" i="27"/>
  <c r="E28" i="27"/>
  <c r="D29" i="27"/>
  <c r="E29" i="27"/>
  <c r="D30" i="27"/>
  <c r="E30" i="27"/>
  <c r="D31" i="27"/>
  <c r="E31" i="27"/>
  <c r="E32" i="27"/>
  <c r="E33" i="27"/>
  <c r="E34" i="27"/>
  <c r="E35" i="27"/>
  <c r="E37" i="27"/>
  <c r="E38" i="27"/>
  <c r="D39" i="27"/>
  <c r="C42" i="10" s="1"/>
  <c r="E39" i="27"/>
  <c r="D40" i="27"/>
  <c r="C43" i="10" s="1"/>
  <c r="E40" i="27"/>
  <c r="D8" i="27"/>
  <c r="C18" i="10" s="1"/>
  <c r="E3" i="27"/>
  <c r="D13" i="10" s="1"/>
  <c r="E4" i="27"/>
  <c r="D14" i="10" s="1"/>
  <c r="E5" i="27"/>
  <c r="D15" i="10" s="1"/>
  <c r="E6" i="27"/>
  <c r="D16" i="10" s="1"/>
  <c r="E7" i="27"/>
  <c r="D17" i="10" s="1"/>
  <c r="E8" i="27"/>
  <c r="D18" i="10" s="1"/>
  <c r="E2" i="27"/>
  <c r="D12" i="10" s="1"/>
  <c r="D3" i="27"/>
  <c r="C13" i="10" s="1"/>
  <c r="D4" i="27"/>
  <c r="C14" i="10" s="1"/>
  <c r="D5" i="27"/>
  <c r="C15" i="10" s="1"/>
  <c r="D6" i="27"/>
  <c r="C16" i="10" s="1"/>
  <c r="D7" i="27"/>
  <c r="C17" i="10" s="1"/>
  <c r="D2" i="27"/>
  <c r="C12" i="10" s="1"/>
  <c r="C38" i="10" l="1"/>
  <c r="C37" i="10"/>
  <c r="E15" i="16"/>
  <c r="E12" i="16"/>
  <c r="F4" i="16"/>
  <c r="D7" i="16" l="1"/>
  <c r="D15" i="16"/>
  <c r="F15" i="16" s="1"/>
  <c r="D12" i="16"/>
  <c r="F8" i="16"/>
  <c r="D5" i="16"/>
  <c r="F12" i="16" l="1"/>
  <c r="F7" i="16"/>
  <c r="F9" i="16" s="1"/>
  <c r="F14" i="16" l="1"/>
  <c r="F16" i="16" s="1"/>
  <c r="D11" i="16"/>
  <c r="F11" i="16" s="1"/>
  <c r="O12" i="14" l="1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11" i="14"/>
  <c r="N43" i="14"/>
  <c r="L40" i="28" s="1"/>
  <c r="N44" i="14"/>
  <c r="L41" i="28" s="1"/>
  <c r="N45" i="14"/>
  <c r="L42" i="28" s="1"/>
  <c r="N46" i="14"/>
  <c r="L43" i="28" s="1"/>
  <c r="N47" i="14"/>
  <c r="L44" i="28" s="1"/>
  <c r="N48" i="14"/>
  <c r="L45" i="28" s="1"/>
  <c r="N49" i="14"/>
  <c r="L46" i="28" s="1"/>
  <c r="N50" i="14"/>
  <c r="L47" i="28" s="1"/>
  <c r="N51" i="14"/>
  <c r="L48" i="28" s="1"/>
  <c r="N52" i="14"/>
  <c r="L49" i="28" s="1"/>
  <c r="N53" i="14"/>
  <c r="L50" i="28" s="1"/>
  <c r="N54" i="14"/>
  <c r="L51" i="28" s="1"/>
  <c r="N55" i="14"/>
  <c r="L52" i="28" s="1"/>
  <c r="N56" i="14"/>
  <c r="L53" i="28" s="1"/>
  <c r="N57" i="14"/>
  <c r="L54" i="28" s="1"/>
  <c r="N58" i="14"/>
  <c r="L55" i="28" s="1"/>
  <c r="N59" i="14"/>
  <c r="L56" i="28" s="1"/>
  <c r="N60" i="14"/>
  <c r="L57" i="28" s="1"/>
  <c r="N61" i="14"/>
  <c r="L58" i="28" s="1"/>
  <c r="N62" i="14"/>
  <c r="L59" i="28" s="1"/>
  <c r="N63" i="14"/>
  <c r="L60" i="28" s="1"/>
  <c r="N64" i="14"/>
  <c r="L61" i="28" s="1"/>
  <c r="N65" i="14"/>
  <c r="L62" i="28" s="1"/>
  <c r="N66" i="14"/>
  <c r="L63" i="28" s="1"/>
  <c r="N67" i="14"/>
  <c r="L64" i="28" s="1"/>
  <c r="N68" i="14"/>
  <c r="L65" i="28" s="1"/>
  <c r="N69" i="14"/>
  <c r="L66" i="28" s="1"/>
  <c r="N70" i="14"/>
  <c r="L67" i="28" s="1"/>
  <c r="N71" i="14"/>
  <c r="L68" i="28" s="1"/>
  <c r="N72" i="14"/>
  <c r="L69" i="28" s="1"/>
  <c r="N73" i="14"/>
  <c r="L70" i="28" s="1"/>
  <c r="N74" i="14"/>
  <c r="L71" i="28" s="1"/>
  <c r="N75" i="14"/>
  <c r="L72" i="28" s="1"/>
  <c r="N76" i="14"/>
  <c r="L73" i="28" s="1"/>
  <c r="N77" i="14"/>
  <c r="L74" i="28" s="1"/>
  <c r="N78" i="14"/>
  <c r="L75" i="28" s="1"/>
  <c r="N79" i="14"/>
  <c r="L76" i="28" s="1"/>
  <c r="N80" i="14"/>
  <c r="L77" i="28" s="1"/>
  <c r="N81" i="14"/>
  <c r="L78" i="28" s="1"/>
  <c r="N82" i="14"/>
  <c r="L79" i="28" s="1"/>
  <c r="N83" i="14"/>
  <c r="L80" i="28" s="1"/>
  <c r="N84" i="14"/>
  <c r="L81" i="28" s="1"/>
  <c r="N85" i="14"/>
  <c r="L82" i="28" s="1"/>
  <c r="N86" i="14"/>
  <c r="L83" i="28" s="1"/>
  <c r="N87" i="14"/>
  <c r="L84" i="28" s="1"/>
  <c r="N88" i="14"/>
  <c r="L85" i="28" s="1"/>
  <c r="N12" i="14"/>
  <c r="L9" i="28" s="1"/>
  <c r="N13" i="14"/>
  <c r="L10" i="28" s="1"/>
  <c r="N14" i="14"/>
  <c r="L11" i="28" s="1"/>
  <c r="N15" i="14"/>
  <c r="L12" i="28" s="1"/>
  <c r="N16" i="14"/>
  <c r="L13" i="28" s="1"/>
  <c r="N17" i="14"/>
  <c r="L14" i="28" s="1"/>
  <c r="N18" i="14"/>
  <c r="L15" i="28" s="1"/>
  <c r="N19" i="14"/>
  <c r="L16" i="28" s="1"/>
  <c r="N20" i="14"/>
  <c r="L17" i="28" s="1"/>
  <c r="N21" i="14"/>
  <c r="L18" i="28" s="1"/>
  <c r="N22" i="14"/>
  <c r="L19" i="28" s="1"/>
  <c r="N23" i="14"/>
  <c r="L20" i="28" s="1"/>
  <c r="N24" i="14"/>
  <c r="L21" i="28" s="1"/>
  <c r="N25" i="14"/>
  <c r="L22" i="28" s="1"/>
  <c r="N26" i="14"/>
  <c r="L23" i="28" s="1"/>
  <c r="N27" i="14"/>
  <c r="L24" i="28" s="1"/>
  <c r="N28" i="14"/>
  <c r="L25" i="28" s="1"/>
  <c r="N29" i="14"/>
  <c r="L26" i="28" s="1"/>
  <c r="N30" i="14"/>
  <c r="L27" i="28" s="1"/>
  <c r="N31" i="14"/>
  <c r="L28" i="28" s="1"/>
  <c r="N32" i="14"/>
  <c r="L29" i="28" s="1"/>
  <c r="N33" i="14"/>
  <c r="L30" i="28" s="1"/>
  <c r="N34" i="14"/>
  <c r="L31" i="28" s="1"/>
  <c r="N35" i="14"/>
  <c r="L32" i="28" s="1"/>
  <c r="N36" i="14"/>
  <c r="L33" i="28" s="1"/>
  <c r="N37" i="14"/>
  <c r="L34" i="28" s="1"/>
  <c r="N38" i="14"/>
  <c r="L35" i="28" s="1"/>
  <c r="N39" i="14"/>
  <c r="L36" i="28" s="1"/>
  <c r="N40" i="14"/>
  <c r="L37" i="28" s="1"/>
  <c r="N41" i="14"/>
  <c r="L38" i="28" s="1"/>
  <c r="N42" i="14"/>
  <c r="L39" i="28" s="1"/>
  <c r="N11" i="14"/>
  <c r="L8" i="28" s="1"/>
  <c r="L86" i="28" l="1"/>
  <c r="N89" i="14"/>
  <c r="O89" i="14"/>
  <c r="O185" i="14"/>
  <c r="N185" i="14"/>
  <c r="O184" i="14"/>
  <c r="N184" i="14"/>
  <c r="O183" i="14"/>
  <c r="N183" i="14"/>
  <c r="O182" i="14"/>
  <c r="N182" i="14"/>
  <c r="O181" i="14"/>
  <c r="N181" i="14"/>
  <c r="O180" i="14"/>
  <c r="N180" i="14"/>
  <c r="O179" i="14"/>
  <c r="N179" i="14"/>
  <c r="O178" i="14"/>
  <c r="N178" i="14"/>
  <c r="O177" i="14"/>
  <c r="N177" i="14"/>
  <c r="O176" i="14"/>
  <c r="N176" i="14"/>
  <c r="O175" i="14"/>
  <c r="N175" i="14"/>
  <c r="O174" i="14"/>
  <c r="N174" i="14"/>
  <c r="O173" i="14"/>
  <c r="N173" i="14"/>
  <c r="O172" i="14"/>
  <c r="N172" i="14"/>
  <c r="O171" i="14"/>
  <c r="N171" i="14"/>
  <c r="O170" i="14"/>
  <c r="N170" i="14"/>
  <c r="O169" i="14"/>
  <c r="N169" i="14"/>
  <c r="O168" i="14"/>
  <c r="N168" i="14"/>
  <c r="O167" i="14"/>
  <c r="N167" i="14"/>
  <c r="O166" i="14"/>
  <c r="N166" i="14"/>
  <c r="O165" i="14"/>
  <c r="N165" i="14"/>
  <c r="O164" i="14"/>
  <c r="N164" i="14"/>
  <c r="O163" i="14"/>
  <c r="N163" i="14"/>
  <c r="O162" i="14"/>
  <c r="N162" i="14"/>
  <c r="O161" i="14"/>
  <c r="N161" i="14"/>
  <c r="O160" i="14"/>
  <c r="N160" i="14"/>
  <c r="O159" i="14"/>
  <c r="N159" i="14"/>
  <c r="O158" i="14"/>
  <c r="N158" i="14"/>
  <c r="O157" i="14"/>
  <c r="N157" i="14"/>
  <c r="O156" i="14"/>
  <c r="N156" i="14"/>
  <c r="O155" i="14"/>
  <c r="N155" i="14"/>
  <c r="O154" i="14"/>
  <c r="N154" i="14"/>
  <c r="O153" i="14"/>
  <c r="N153" i="14"/>
  <c r="O152" i="14"/>
  <c r="N152" i="14"/>
  <c r="O151" i="14"/>
  <c r="N151" i="14"/>
  <c r="O150" i="14"/>
  <c r="N150" i="14"/>
  <c r="O149" i="14"/>
  <c r="N149" i="14"/>
  <c r="O148" i="14"/>
  <c r="N148" i="14"/>
  <c r="O147" i="14"/>
  <c r="N147" i="14"/>
  <c r="O146" i="14"/>
  <c r="N146" i="14"/>
  <c r="O145" i="14"/>
  <c r="N145" i="14"/>
  <c r="O144" i="14"/>
  <c r="N144" i="14"/>
  <c r="O143" i="14"/>
  <c r="N143" i="14"/>
  <c r="O142" i="14"/>
  <c r="N142" i="14"/>
  <c r="O141" i="14"/>
  <c r="N141" i="14"/>
  <c r="O140" i="14"/>
  <c r="N140" i="14"/>
  <c r="O139" i="14"/>
  <c r="N139" i="14"/>
  <c r="O138" i="14"/>
  <c r="N138" i="14"/>
  <c r="O137" i="14"/>
  <c r="N137" i="14"/>
  <c r="O136" i="14"/>
  <c r="N136" i="14"/>
  <c r="O135" i="14"/>
  <c r="N135" i="14"/>
  <c r="O134" i="14"/>
  <c r="N134" i="14"/>
  <c r="O133" i="14"/>
  <c r="N133" i="14"/>
  <c r="O132" i="14"/>
  <c r="N132" i="14"/>
  <c r="O131" i="14"/>
  <c r="N131" i="14"/>
  <c r="O130" i="14"/>
  <c r="N130" i="14"/>
  <c r="O129" i="14"/>
  <c r="N129" i="14"/>
  <c r="O128" i="14"/>
  <c r="N128" i="14"/>
  <c r="O127" i="14"/>
  <c r="N127" i="14"/>
  <c r="O126" i="14"/>
  <c r="N126" i="14"/>
  <c r="O125" i="14"/>
  <c r="N125" i="14"/>
  <c r="O124" i="14"/>
  <c r="N124" i="14"/>
  <c r="O123" i="14"/>
  <c r="N123" i="14"/>
  <c r="O122" i="14"/>
  <c r="N122" i="14"/>
  <c r="O121" i="14"/>
  <c r="N121" i="14"/>
  <c r="O120" i="14"/>
  <c r="N120" i="14"/>
  <c r="O119" i="14"/>
  <c r="N119" i="14"/>
  <c r="O118" i="14"/>
  <c r="N118" i="14"/>
  <c r="O117" i="14"/>
  <c r="N117" i="14"/>
  <c r="O116" i="14"/>
  <c r="N116" i="14"/>
  <c r="O115" i="14"/>
  <c r="N115" i="14"/>
  <c r="O114" i="14"/>
  <c r="N114" i="14"/>
  <c r="O113" i="14"/>
  <c r="N113" i="14"/>
  <c r="O112" i="14"/>
  <c r="N112" i="14"/>
  <c r="O111" i="14"/>
  <c r="N111" i="14"/>
  <c r="O110" i="14"/>
  <c r="N110" i="14"/>
  <c r="O109" i="14"/>
  <c r="N109" i="14"/>
  <c r="O108" i="14"/>
  <c r="N108" i="14"/>
  <c r="N186" i="14" l="1"/>
  <c r="O186" i="14"/>
  <c r="A1" i="26"/>
  <c r="A1" i="24"/>
  <c r="A1" i="18"/>
  <c r="A1" i="3"/>
  <c r="F81" i="26" l="1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82" i="26" l="1"/>
  <c r="F5" i="16"/>
  <c r="D82" i="24" l="1"/>
  <c r="D84" i="24" s="1"/>
  <c r="C82" i="24"/>
  <c r="B82" i="24"/>
  <c r="B84" i="24" s="1"/>
  <c r="A2" i="10"/>
  <c r="F1" i="2"/>
  <c r="C84" i="24" l="1"/>
  <c r="D28" i="16"/>
  <c r="F28" i="16" s="1"/>
  <c r="F30" i="16" s="1"/>
  <c r="A102" i="14"/>
  <c r="C86" i="2"/>
  <c r="D86" i="2"/>
  <c r="B86" i="2"/>
  <c r="B81" i="19" l="1"/>
  <c r="L109" i="14"/>
  <c r="L110" i="14"/>
  <c r="L111" i="14"/>
  <c r="L112" i="14"/>
  <c r="L113" i="14"/>
  <c r="L114" i="14"/>
  <c r="L115" i="14"/>
  <c r="L116" i="14"/>
  <c r="L117" i="14"/>
  <c r="L118" i="14"/>
  <c r="L119" i="14"/>
  <c r="L120" i="14"/>
  <c r="L121" i="14"/>
  <c r="L122" i="14"/>
  <c r="L123" i="14"/>
  <c r="L124" i="14"/>
  <c r="L125" i="14"/>
  <c r="L126" i="14"/>
  <c r="L127" i="14"/>
  <c r="L128" i="14"/>
  <c r="L129" i="14"/>
  <c r="L130" i="14"/>
  <c r="L131" i="14"/>
  <c r="L132" i="14"/>
  <c r="L133" i="14"/>
  <c r="L134" i="14"/>
  <c r="L135" i="14"/>
  <c r="L136" i="14"/>
  <c r="L137" i="14"/>
  <c r="L138" i="14"/>
  <c r="L139" i="14"/>
  <c r="L140" i="14"/>
  <c r="L141" i="14"/>
  <c r="L142" i="14"/>
  <c r="L143" i="14"/>
  <c r="L144" i="14"/>
  <c r="L145" i="14"/>
  <c r="L146" i="14"/>
  <c r="L147" i="14"/>
  <c r="L148" i="14"/>
  <c r="L149" i="14"/>
  <c r="L150" i="14"/>
  <c r="L151" i="14"/>
  <c r="L152" i="14"/>
  <c r="L153" i="14"/>
  <c r="L154" i="14"/>
  <c r="L155" i="14"/>
  <c r="L156" i="14"/>
  <c r="L157" i="14"/>
  <c r="L158" i="14"/>
  <c r="L159" i="14"/>
  <c r="L160" i="14"/>
  <c r="L161" i="14"/>
  <c r="L162" i="14"/>
  <c r="L163" i="14"/>
  <c r="L164" i="14"/>
  <c r="L165" i="14"/>
  <c r="L166" i="14"/>
  <c r="L167" i="14"/>
  <c r="L168" i="14"/>
  <c r="L169" i="14"/>
  <c r="L170" i="14"/>
  <c r="L171" i="14"/>
  <c r="L172" i="14"/>
  <c r="L173" i="14"/>
  <c r="L174" i="14"/>
  <c r="L175" i="14"/>
  <c r="L176" i="14"/>
  <c r="L177" i="14"/>
  <c r="L178" i="14"/>
  <c r="L179" i="14"/>
  <c r="L180" i="14"/>
  <c r="L181" i="14"/>
  <c r="L182" i="14"/>
  <c r="L183" i="14"/>
  <c r="L184" i="14"/>
  <c r="L185" i="14"/>
  <c r="L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08" i="14"/>
  <c r="C109" i="14"/>
  <c r="C110" i="14"/>
  <c r="C111" i="14"/>
  <c r="C112" i="14"/>
  <c r="C113" i="14"/>
  <c r="C114" i="14"/>
  <c r="C115" i="14"/>
  <c r="C116" i="14"/>
  <c r="C117" i="14"/>
  <c r="C118" i="14"/>
  <c r="C119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/>
  <c r="C150" i="14"/>
  <c r="C151" i="14"/>
  <c r="C152" i="14"/>
  <c r="C153" i="14"/>
  <c r="C154" i="14"/>
  <c r="C155" i="14"/>
  <c r="C156" i="14"/>
  <c r="C157" i="14"/>
  <c r="C158" i="14"/>
  <c r="C159" i="14"/>
  <c r="C160" i="14"/>
  <c r="C161" i="14"/>
  <c r="C162" i="14"/>
  <c r="C163" i="14"/>
  <c r="C164" i="14"/>
  <c r="C165" i="14"/>
  <c r="C166" i="14"/>
  <c r="C167" i="14"/>
  <c r="C168" i="14"/>
  <c r="C169" i="14"/>
  <c r="C170" i="14"/>
  <c r="C171" i="14"/>
  <c r="C172" i="14"/>
  <c r="C173" i="14"/>
  <c r="C174" i="14"/>
  <c r="C175" i="14"/>
  <c r="C176" i="14"/>
  <c r="C177" i="14"/>
  <c r="C178" i="14"/>
  <c r="C179" i="14"/>
  <c r="C180" i="14"/>
  <c r="C181" i="14"/>
  <c r="C182" i="14"/>
  <c r="C183" i="14"/>
  <c r="C184" i="14"/>
  <c r="C185" i="14"/>
  <c r="C108" i="14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C27" i="14" s="1"/>
  <c r="D24" i="28" s="1"/>
  <c r="F24" i="28" s="1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K4" i="2"/>
  <c r="J82" i="2" l="1"/>
  <c r="B84" i="19"/>
  <c r="L80" i="2"/>
  <c r="L76" i="2"/>
  <c r="L72" i="2"/>
  <c r="L68" i="2"/>
  <c r="L64" i="2"/>
  <c r="L60" i="2"/>
  <c r="L56" i="2"/>
  <c r="L52" i="2"/>
  <c r="L48" i="2"/>
  <c r="L44" i="2"/>
  <c r="L40" i="2"/>
  <c r="L36" i="2"/>
  <c r="L32" i="2"/>
  <c r="L28" i="2"/>
  <c r="L24" i="2"/>
  <c r="L20" i="2"/>
  <c r="L16" i="2"/>
  <c r="L12" i="2"/>
  <c r="L8" i="2"/>
  <c r="L4" i="2"/>
  <c r="K186" i="14"/>
  <c r="P100" i="14" s="1"/>
  <c r="L81" i="2"/>
  <c r="L77" i="2"/>
  <c r="L73" i="2"/>
  <c r="L69" i="2"/>
  <c r="L65" i="2"/>
  <c r="L61" i="2"/>
  <c r="L57" i="2"/>
  <c r="L53" i="2"/>
  <c r="L49" i="2"/>
  <c r="L45" i="2"/>
  <c r="L41" i="2"/>
  <c r="L37" i="2"/>
  <c r="L33" i="2"/>
  <c r="L29" i="2"/>
  <c r="L25" i="2"/>
  <c r="L21" i="2"/>
  <c r="L17" i="2"/>
  <c r="L13" i="2"/>
  <c r="L9" i="2"/>
  <c r="L5" i="2"/>
  <c r="C186" i="14"/>
  <c r="L78" i="2"/>
  <c r="L74" i="2"/>
  <c r="L70" i="2"/>
  <c r="L66" i="2"/>
  <c r="L62" i="2"/>
  <c r="L58" i="2"/>
  <c r="L54" i="2"/>
  <c r="L50" i="2"/>
  <c r="L46" i="2"/>
  <c r="L42" i="2"/>
  <c r="L38" i="2"/>
  <c r="L34" i="2"/>
  <c r="L30" i="2"/>
  <c r="L26" i="2"/>
  <c r="L22" i="2"/>
  <c r="L18" i="2"/>
  <c r="L14" i="2"/>
  <c r="L10" i="2"/>
  <c r="L6" i="2"/>
  <c r="L79" i="2"/>
  <c r="L75" i="2"/>
  <c r="L71" i="2"/>
  <c r="L67" i="2"/>
  <c r="L63" i="2"/>
  <c r="L59" i="2"/>
  <c r="L55" i="2"/>
  <c r="L51" i="2"/>
  <c r="L47" i="2"/>
  <c r="L43" i="2"/>
  <c r="L39" i="2"/>
  <c r="L35" i="2"/>
  <c r="L31" i="2"/>
  <c r="L27" i="2"/>
  <c r="L23" i="2"/>
  <c r="L19" i="2"/>
  <c r="L15" i="2"/>
  <c r="L11" i="2"/>
  <c r="L7" i="2"/>
  <c r="L186" i="14"/>
  <c r="Q100" i="14" s="1"/>
  <c r="D186" i="14"/>
  <c r="O82" i="2"/>
  <c r="O86" i="2" s="1"/>
  <c r="P82" i="2"/>
  <c r="P86" i="2" s="1"/>
  <c r="N82" i="2"/>
  <c r="N86" i="2" s="1"/>
  <c r="K82" i="2"/>
  <c r="K86" i="2" s="1"/>
  <c r="D27" i="14" l="1"/>
  <c r="P99" i="14"/>
  <c r="Q99" i="14"/>
  <c r="J86" i="2"/>
  <c r="G82" i="2"/>
  <c r="G86" i="2" s="1"/>
  <c r="H82" i="2"/>
  <c r="H86" i="2" s="1"/>
  <c r="F86" i="2"/>
  <c r="L82" i="2" l="1"/>
  <c r="L86" i="2" s="1"/>
  <c r="J185" i="14" l="1"/>
  <c r="I185" i="14"/>
  <c r="J184" i="14"/>
  <c r="I184" i="14"/>
  <c r="J183" i="14"/>
  <c r="I183" i="14"/>
  <c r="J182" i="14"/>
  <c r="I182" i="14"/>
  <c r="J181" i="14"/>
  <c r="I181" i="14"/>
  <c r="J180" i="14"/>
  <c r="I180" i="14"/>
  <c r="J179" i="14"/>
  <c r="I179" i="14"/>
  <c r="J178" i="14"/>
  <c r="I178" i="14"/>
  <c r="J177" i="14"/>
  <c r="I177" i="14"/>
  <c r="J176" i="14"/>
  <c r="I176" i="14"/>
  <c r="J175" i="14"/>
  <c r="I175" i="14"/>
  <c r="J174" i="14"/>
  <c r="I174" i="14"/>
  <c r="J173" i="14"/>
  <c r="I173" i="14"/>
  <c r="J172" i="14"/>
  <c r="I172" i="14"/>
  <c r="J171" i="14"/>
  <c r="I171" i="14"/>
  <c r="J170" i="14"/>
  <c r="I170" i="14"/>
  <c r="J169" i="14"/>
  <c r="I169" i="14"/>
  <c r="J168" i="14"/>
  <c r="I168" i="14"/>
  <c r="J167" i="14"/>
  <c r="I167" i="14"/>
  <c r="J166" i="14"/>
  <c r="I166" i="14"/>
  <c r="J165" i="14"/>
  <c r="I165" i="14"/>
  <c r="J164" i="14"/>
  <c r="I164" i="14"/>
  <c r="J163" i="14"/>
  <c r="I163" i="14"/>
  <c r="J162" i="14"/>
  <c r="I162" i="14"/>
  <c r="J161" i="14"/>
  <c r="I161" i="14"/>
  <c r="J160" i="14"/>
  <c r="I160" i="14"/>
  <c r="J159" i="14"/>
  <c r="I159" i="14"/>
  <c r="J158" i="14"/>
  <c r="I158" i="14"/>
  <c r="J157" i="14"/>
  <c r="I157" i="14"/>
  <c r="J156" i="14"/>
  <c r="I156" i="14"/>
  <c r="J155" i="14"/>
  <c r="I155" i="14"/>
  <c r="J154" i="14"/>
  <c r="I154" i="14"/>
  <c r="J153" i="14"/>
  <c r="I153" i="14"/>
  <c r="J152" i="14"/>
  <c r="I152" i="14"/>
  <c r="J151" i="14"/>
  <c r="I151" i="14"/>
  <c r="J150" i="14"/>
  <c r="I150" i="14"/>
  <c r="J149" i="14"/>
  <c r="I149" i="14"/>
  <c r="J148" i="14"/>
  <c r="I148" i="14"/>
  <c r="J147" i="14"/>
  <c r="I147" i="14"/>
  <c r="J146" i="14"/>
  <c r="I146" i="14"/>
  <c r="J145" i="14"/>
  <c r="I145" i="14"/>
  <c r="J144" i="14"/>
  <c r="I144" i="14"/>
  <c r="J143" i="14"/>
  <c r="I143" i="14"/>
  <c r="J142" i="14"/>
  <c r="I142" i="14"/>
  <c r="J141" i="14"/>
  <c r="I141" i="14"/>
  <c r="J140" i="14"/>
  <c r="I140" i="14"/>
  <c r="J139" i="14"/>
  <c r="I139" i="14"/>
  <c r="J138" i="14"/>
  <c r="I138" i="14"/>
  <c r="J137" i="14"/>
  <c r="I137" i="14"/>
  <c r="J136" i="14"/>
  <c r="I136" i="14"/>
  <c r="J135" i="14"/>
  <c r="I135" i="14"/>
  <c r="J134" i="14"/>
  <c r="I134" i="14"/>
  <c r="J133" i="14"/>
  <c r="I133" i="14"/>
  <c r="J132" i="14"/>
  <c r="I132" i="14"/>
  <c r="J131" i="14"/>
  <c r="I131" i="14"/>
  <c r="J130" i="14"/>
  <c r="I130" i="14"/>
  <c r="J129" i="14"/>
  <c r="I129" i="14"/>
  <c r="J128" i="14"/>
  <c r="I128" i="14"/>
  <c r="J127" i="14"/>
  <c r="I127" i="14"/>
  <c r="J126" i="14"/>
  <c r="I126" i="14"/>
  <c r="J125" i="14"/>
  <c r="I125" i="14"/>
  <c r="J124" i="14"/>
  <c r="I124" i="14"/>
  <c r="J123" i="14"/>
  <c r="I123" i="14"/>
  <c r="J122" i="14"/>
  <c r="I122" i="14"/>
  <c r="J121" i="14"/>
  <c r="I121" i="14"/>
  <c r="J120" i="14"/>
  <c r="I120" i="14"/>
  <c r="J119" i="14"/>
  <c r="I119" i="14"/>
  <c r="J118" i="14"/>
  <c r="I118" i="14"/>
  <c r="J117" i="14"/>
  <c r="I117" i="14"/>
  <c r="J116" i="14"/>
  <c r="I116" i="14"/>
  <c r="J115" i="14"/>
  <c r="I115" i="14"/>
  <c r="J114" i="14"/>
  <c r="I114" i="14"/>
  <c r="J113" i="14"/>
  <c r="I113" i="14"/>
  <c r="J112" i="14"/>
  <c r="I112" i="14"/>
  <c r="J111" i="14"/>
  <c r="I111" i="14"/>
  <c r="J110" i="14"/>
  <c r="I110" i="14"/>
  <c r="J109" i="14"/>
  <c r="I109" i="14"/>
  <c r="J108" i="14"/>
  <c r="I108" i="14"/>
  <c r="H117" i="14" l="1"/>
  <c r="H119" i="14"/>
  <c r="H121" i="14"/>
  <c r="H131" i="14"/>
  <c r="H137" i="14"/>
  <c r="H139" i="14"/>
  <c r="H141" i="14"/>
  <c r="H143" i="14"/>
  <c r="H145" i="14"/>
  <c r="H147" i="14"/>
  <c r="H149" i="14"/>
  <c r="H151" i="14"/>
  <c r="H153" i="14"/>
  <c r="H155" i="14"/>
  <c r="H171" i="14"/>
  <c r="H173" i="14"/>
  <c r="H175" i="14"/>
  <c r="H177" i="14"/>
  <c r="H179" i="14"/>
  <c r="H181" i="14"/>
  <c r="H183" i="14"/>
  <c r="H185" i="14"/>
  <c r="G133" i="14"/>
  <c r="G135" i="14"/>
  <c r="G141" i="14"/>
  <c r="G143" i="14"/>
  <c r="G145" i="14"/>
  <c r="G147" i="14"/>
  <c r="G149" i="14"/>
  <c r="G151" i="14"/>
  <c r="G153" i="14"/>
  <c r="G155" i="14"/>
  <c r="G157" i="14"/>
  <c r="G110" i="14"/>
  <c r="G112" i="14"/>
  <c r="G114" i="14"/>
  <c r="G116" i="14"/>
  <c r="G118" i="14"/>
  <c r="G122" i="14"/>
  <c r="G126" i="14"/>
  <c r="G128" i="14"/>
  <c r="G130" i="14"/>
  <c r="G132" i="14"/>
  <c r="J186" i="14"/>
  <c r="H110" i="14"/>
  <c r="H112" i="14"/>
  <c r="H114" i="14"/>
  <c r="H124" i="14"/>
  <c r="H126" i="14"/>
  <c r="H128" i="14"/>
  <c r="G134" i="14"/>
  <c r="G136" i="14"/>
  <c r="G138" i="14"/>
  <c r="G140" i="14"/>
  <c r="G156" i="14"/>
  <c r="G158" i="14"/>
  <c r="G160" i="14"/>
  <c r="G162" i="14"/>
  <c r="G164" i="14"/>
  <c r="G166" i="14"/>
  <c r="G168" i="14"/>
  <c r="G170" i="14"/>
  <c r="G172" i="14"/>
  <c r="G174" i="14"/>
  <c r="G176" i="14"/>
  <c r="G178" i="14"/>
  <c r="G180" i="14"/>
  <c r="G182" i="14"/>
  <c r="G184" i="14"/>
  <c r="G115" i="14"/>
  <c r="G119" i="14"/>
  <c r="G121" i="14"/>
  <c r="G123" i="14"/>
  <c r="G125" i="14"/>
  <c r="G129" i="14"/>
  <c r="G131" i="14"/>
  <c r="H134" i="14"/>
  <c r="H158" i="14"/>
  <c r="H160" i="14"/>
  <c r="H162" i="14"/>
  <c r="H164" i="14"/>
  <c r="H166" i="14"/>
  <c r="H168" i="14"/>
  <c r="H170" i="14"/>
  <c r="H109" i="14"/>
  <c r="H111" i="14"/>
  <c r="H113" i="14"/>
  <c r="H115" i="14"/>
  <c r="G117" i="14"/>
  <c r="H120" i="14"/>
  <c r="H122" i="14"/>
  <c r="G124" i="14"/>
  <c r="H127" i="14"/>
  <c r="H129" i="14"/>
  <c r="H132" i="14"/>
  <c r="H135" i="14"/>
  <c r="G137" i="14"/>
  <c r="G139" i="14"/>
  <c r="H142" i="14"/>
  <c r="H144" i="14"/>
  <c r="H146" i="14"/>
  <c r="H148" i="14"/>
  <c r="H150" i="14"/>
  <c r="H152" i="14"/>
  <c r="H154" i="14"/>
  <c r="H156" i="14"/>
  <c r="H159" i="14"/>
  <c r="H161" i="14"/>
  <c r="H163" i="14"/>
  <c r="H165" i="14"/>
  <c r="H167" i="14"/>
  <c r="H169" i="14"/>
  <c r="G171" i="14"/>
  <c r="G173" i="14"/>
  <c r="G175" i="14"/>
  <c r="G177" i="14"/>
  <c r="G179" i="14"/>
  <c r="G181" i="14"/>
  <c r="G183" i="14"/>
  <c r="G185" i="14"/>
  <c r="I186" i="14"/>
  <c r="G109" i="14"/>
  <c r="G111" i="14"/>
  <c r="G113" i="14"/>
  <c r="H116" i="14"/>
  <c r="H118" i="14"/>
  <c r="G120" i="14"/>
  <c r="H123" i="14"/>
  <c r="H125" i="14"/>
  <c r="G127" i="14"/>
  <c r="H130" i="14"/>
  <c r="H133" i="14"/>
  <c r="H136" i="14"/>
  <c r="H138" i="14"/>
  <c r="H140" i="14"/>
  <c r="G142" i="14"/>
  <c r="G144" i="14"/>
  <c r="G146" i="14"/>
  <c r="G148" i="14"/>
  <c r="G150" i="14"/>
  <c r="G152" i="14"/>
  <c r="G154" i="14"/>
  <c r="H157" i="14"/>
  <c r="G159" i="14"/>
  <c r="G161" i="14"/>
  <c r="G163" i="14"/>
  <c r="G165" i="14"/>
  <c r="G167" i="14"/>
  <c r="G169" i="14"/>
  <c r="H172" i="14"/>
  <c r="H174" i="14"/>
  <c r="H176" i="14"/>
  <c r="H178" i="14"/>
  <c r="H180" i="14"/>
  <c r="H182" i="14"/>
  <c r="H184" i="14"/>
  <c r="H108" i="14"/>
  <c r="G108" i="14"/>
  <c r="J80" i="14"/>
  <c r="J81" i="14"/>
  <c r="J82" i="14"/>
  <c r="J83" i="14"/>
  <c r="J84" i="14"/>
  <c r="J85" i="14"/>
  <c r="J86" i="14"/>
  <c r="J87" i="14"/>
  <c r="J88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11" i="14"/>
  <c r="F89" i="14" s="1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11" i="14"/>
  <c r="E89" i="14" s="1"/>
  <c r="D88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11" i="14"/>
  <c r="C79" i="14"/>
  <c r="D76" i="28" s="1"/>
  <c r="F76" i="28" s="1"/>
  <c r="C80" i="14"/>
  <c r="D77" i="28" s="1"/>
  <c r="F77" i="28" s="1"/>
  <c r="C81" i="14"/>
  <c r="D78" i="28" s="1"/>
  <c r="F78" i="28" s="1"/>
  <c r="C82" i="14"/>
  <c r="D79" i="28" s="1"/>
  <c r="F79" i="28" s="1"/>
  <c r="C83" i="14"/>
  <c r="D80" i="28" s="1"/>
  <c r="F80" i="28" s="1"/>
  <c r="C84" i="14"/>
  <c r="D81" i="28" s="1"/>
  <c r="F81" i="28" s="1"/>
  <c r="C85" i="14"/>
  <c r="D82" i="28" s="1"/>
  <c r="F82" i="28" s="1"/>
  <c r="C86" i="14"/>
  <c r="D83" i="28" s="1"/>
  <c r="F83" i="28" s="1"/>
  <c r="C87" i="14"/>
  <c r="D84" i="28" s="1"/>
  <c r="F84" i="28" s="1"/>
  <c r="C88" i="14"/>
  <c r="D85" i="28" s="1"/>
  <c r="F85" i="28" s="1"/>
  <c r="C46" i="14"/>
  <c r="D43" i="28" s="1"/>
  <c r="F43" i="28" s="1"/>
  <c r="C47" i="14"/>
  <c r="D44" i="28" s="1"/>
  <c r="F44" i="28" s="1"/>
  <c r="C48" i="14"/>
  <c r="D45" i="28" s="1"/>
  <c r="F45" i="28" s="1"/>
  <c r="C49" i="14"/>
  <c r="D46" i="28" s="1"/>
  <c r="F46" i="28" s="1"/>
  <c r="C50" i="14"/>
  <c r="D47" i="28" s="1"/>
  <c r="F47" i="28" s="1"/>
  <c r="C51" i="14"/>
  <c r="D48" i="28" s="1"/>
  <c r="F48" i="28" s="1"/>
  <c r="C52" i="14"/>
  <c r="D49" i="28" s="1"/>
  <c r="F49" i="28" s="1"/>
  <c r="C53" i="14"/>
  <c r="D50" i="28" s="1"/>
  <c r="F50" i="28" s="1"/>
  <c r="C54" i="14"/>
  <c r="D51" i="28" s="1"/>
  <c r="F51" i="28" s="1"/>
  <c r="C55" i="14"/>
  <c r="D52" i="28" s="1"/>
  <c r="F52" i="28" s="1"/>
  <c r="C56" i="14"/>
  <c r="D53" i="28" s="1"/>
  <c r="F53" i="28" s="1"/>
  <c r="C57" i="14"/>
  <c r="D54" i="28" s="1"/>
  <c r="F54" i="28" s="1"/>
  <c r="C58" i="14"/>
  <c r="D55" i="28" s="1"/>
  <c r="F55" i="28" s="1"/>
  <c r="C59" i="14"/>
  <c r="D56" i="28" s="1"/>
  <c r="F56" i="28" s="1"/>
  <c r="C60" i="14"/>
  <c r="D57" i="28" s="1"/>
  <c r="F57" i="28" s="1"/>
  <c r="C61" i="14"/>
  <c r="D58" i="28" s="1"/>
  <c r="F58" i="28" s="1"/>
  <c r="C62" i="14"/>
  <c r="D59" i="28" s="1"/>
  <c r="F59" i="28" s="1"/>
  <c r="C63" i="14"/>
  <c r="D60" i="28" s="1"/>
  <c r="F60" i="28" s="1"/>
  <c r="C64" i="14"/>
  <c r="D61" i="28" s="1"/>
  <c r="F61" i="28" s="1"/>
  <c r="C65" i="14"/>
  <c r="D62" i="28" s="1"/>
  <c r="F62" i="28" s="1"/>
  <c r="C66" i="14"/>
  <c r="D63" i="28" s="1"/>
  <c r="F63" i="28" s="1"/>
  <c r="C67" i="14"/>
  <c r="D64" i="28" s="1"/>
  <c r="F64" i="28" s="1"/>
  <c r="C68" i="14"/>
  <c r="D65" i="28" s="1"/>
  <c r="F65" i="28" s="1"/>
  <c r="C69" i="14"/>
  <c r="D66" i="28" s="1"/>
  <c r="F66" i="28" s="1"/>
  <c r="C70" i="14"/>
  <c r="D67" i="28" s="1"/>
  <c r="F67" i="28" s="1"/>
  <c r="C71" i="14"/>
  <c r="D68" i="28" s="1"/>
  <c r="F68" i="28" s="1"/>
  <c r="C72" i="14"/>
  <c r="D69" i="28" s="1"/>
  <c r="F69" i="28" s="1"/>
  <c r="C73" i="14"/>
  <c r="D70" i="28" s="1"/>
  <c r="F70" i="28" s="1"/>
  <c r="C74" i="14"/>
  <c r="D71" i="28" s="1"/>
  <c r="F71" i="28" s="1"/>
  <c r="C75" i="14"/>
  <c r="D72" i="28" s="1"/>
  <c r="F72" i="28" s="1"/>
  <c r="C76" i="14"/>
  <c r="D73" i="28" s="1"/>
  <c r="F73" i="28" s="1"/>
  <c r="C77" i="14"/>
  <c r="D74" i="28" s="1"/>
  <c r="F74" i="28" s="1"/>
  <c r="C78" i="14"/>
  <c r="D75" i="28" s="1"/>
  <c r="F75" i="28" s="1"/>
  <c r="C12" i="14"/>
  <c r="D9" i="28" s="1"/>
  <c r="F9" i="28" s="1"/>
  <c r="C13" i="14"/>
  <c r="D10" i="28" s="1"/>
  <c r="F10" i="28" s="1"/>
  <c r="C14" i="14"/>
  <c r="D11" i="28" s="1"/>
  <c r="F11" i="28" s="1"/>
  <c r="C15" i="14"/>
  <c r="D12" i="28" s="1"/>
  <c r="F12" i="28" s="1"/>
  <c r="C16" i="14"/>
  <c r="D13" i="28" s="1"/>
  <c r="F13" i="28" s="1"/>
  <c r="C17" i="14"/>
  <c r="D14" i="28" s="1"/>
  <c r="F14" i="28" s="1"/>
  <c r="C18" i="14"/>
  <c r="D15" i="28" s="1"/>
  <c r="F15" i="28" s="1"/>
  <c r="C19" i="14"/>
  <c r="D16" i="28" s="1"/>
  <c r="F16" i="28" s="1"/>
  <c r="C20" i="14"/>
  <c r="D17" i="28" s="1"/>
  <c r="F17" i="28" s="1"/>
  <c r="C21" i="14"/>
  <c r="D18" i="28" s="1"/>
  <c r="F18" i="28" s="1"/>
  <c r="C22" i="14"/>
  <c r="D19" i="28" s="1"/>
  <c r="F19" i="28" s="1"/>
  <c r="C23" i="14"/>
  <c r="D20" i="28" s="1"/>
  <c r="F20" i="28" s="1"/>
  <c r="C24" i="14"/>
  <c r="D21" i="28" s="1"/>
  <c r="F21" i="28" s="1"/>
  <c r="C25" i="14"/>
  <c r="D22" i="28" s="1"/>
  <c r="F22" i="28" s="1"/>
  <c r="C26" i="14"/>
  <c r="D23" i="28" s="1"/>
  <c r="F23" i="28" s="1"/>
  <c r="C28" i="14"/>
  <c r="D25" i="28" s="1"/>
  <c r="F25" i="28" s="1"/>
  <c r="C29" i="14"/>
  <c r="D26" i="28" s="1"/>
  <c r="F26" i="28" s="1"/>
  <c r="C30" i="14"/>
  <c r="D27" i="28" s="1"/>
  <c r="F27" i="28" s="1"/>
  <c r="C31" i="14"/>
  <c r="D28" i="28" s="1"/>
  <c r="F28" i="28" s="1"/>
  <c r="C32" i="14"/>
  <c r="D29" i="28" s="1"/>
  <c r="F29" i="28" s="1"/>
  <c r="C33" i="14"/>
  <c r="D30" i="28" s="1"/>
  <c r="F30" i="28" s="1"/>
  <c r="C34" i="14"/>
  <c r="D31" i="28" s="1"/>
  <c r="F31" i="28" s="1"/>
  <c r="C35" i="14"/>
  <c r="D32" i="28" s="1"/>
  <c r="F32" i="28" s="1"/>
  <c r="C36" i="14"/>
  <c r="D33" i="28" s="1"/>
  <c r="F33" i="28" s="1"/>
  <c r="C37" i="14"/>
  <c r="D34" i="28" s="1"/>
  <c r="F34" i="28" s="1"/>
  <c r="C38" i="14"/>
  <c r="D35" i="28" s="1"/>
  <c r="F35" i="28" s="1"/>
  <c r="C39" i="14"/>
  <c r="D36" i="28" s="1"/>
  <c r="F36" i="28" s="1"/>
  <c r="C40" i="14"/>
  <c r="D37" i="28" s="1"/>
  <c r="F37" i="28" s="1"/>
  <c r="C41" i="14"/>
  <c r="D38" i="28" s="1"/>
  <c r="F38" i="28" s="1"/>
  <c r="C42" i="14"/>
  <c r="D39" i="28" s="1"/>
  <c r="F39" i="28" s="1"/>
  <c r="C43" i="14"/>
  <c r="D40" i="28" s="1"/>
  <c r="F40" i="28" s="1"/>
  <c r="C44" i="14"/>
  <c r="D41" i="28" s="1"/>
  <c r="F41" i="28" s="1"/>
  <c r="C45" i="14"/>
  <c r="D42" i="28" s="1"/>
  <c r="F42" i="28" s="1"/>
  <c r="C11" i="14"/>
  <c r="D8" i="28" s="1"/>
  <c r="F86" i="28" l="1"/>
  <c r="D86" i="28"/>
  <c r="J89" i="14"/>
  <c r="C89" i="14"/>
  <c r="Q3" i="14" s="1"/>
  <c r="D89" i="14"/>
  <c r="R3" i="14" s="1"/>
  <c r="H186" i="14"/>
  <c r="G186" i="14"/>
  <c r="B81" i="18"/>
  <c r="D23" i="16" s="1"/>
  <c r="F23" i="16" s="1"/>
  <c r="D83" i="8"/>
  <c r="D86" i="8" s="1"/>
  <c r="C83" i="8"/>
  <c r="C86" i="8" s="1"/>
  <c r="B83" i="8"/>
  <c r="B86" i="8" s="1"/>
  <c r="J7" i="10"/>
  <c r="I7" i="10"/>
  <c r="H7" i="10"/>
  <c r="G7" i="10"/>
  <c r="J6" i="10"/>
  <c r="I6" i="10"/>
  <c r="H6" i="10"/>
  <c r="J5" i="10"/>
  <c r="I5" i="10"/>
  <c r="H5" i="10"/>
  <c r="G5" i="10"/>
  <c r="K5" i="10" l="1"/>
  <c r="J8" i="10"/>
  <c r="K6" i="10"/>
  <c r="D18" i="16" s="1"/>
  <c r="F18" i="16" s="1"/>
  <c r="K7" i="10"/>
  <c r="D20" i="16" s="1"/>
  <c r="F20" i="16" s="1"/>
  <c r="B84" i="18"/>
  <c r="K8" i="10" l="1"/>
  <c r="D2" i="3"/>
  <c r="E2" i="3" s="1"/>
  <c r="K8" i="8" l="1"/>
  <c r="J8" i="8"/>
  <c r="K15" i="14" l="1"/>
  <c r="H12" i="28" s="1"/>
  <c r="L8" i="8"/>
  <c r="K5" i="8"/>
  <c r="K6" i="8"/>
  <c r="K7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4" i="8"/>
  <c r="J5" i="8"/>
  <c r="J6" i="8"/>
  <c r="J7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4" i="8"/>
  <c r="P83" i="8"/>
  <c r="P86" i="8" s="1"/>
  <c r="O83" i="8"/>
  <c r="O86" i="8" s="1"/>
  <c r="N83" i="8"/>
  <c r="N86" i="8" s="1"/>
  <c r="H83" i="8"/>
  <c r="H86" i="8" s="1"/>
  <c r="G83" i="8"/>
  <c r="G86" i="8" s="1"/>
  <c r="F83" i="8"/>
  <c r="F86" i="8" s="1"/>
  <c r="L15" i="14" l="1"/>
  <c r="L83" i="8"/>
  <c r="L86" i="8" s="1"/>
  <c r="K78" i="14"/>
  <c r="H75" i="28" s="1"/>
  <c r="L71" i="8"/>
  <c r="K66" i="14"/>
  <c r="H63" i="28" s="1"/>
  <c r="L59" i="8"/>
  <c r="K58" i="14"/>
  <c r="H55" i="28" s="1"/>
  <c r="L51" i="8"/>
  <c r="K50" i="14"/>
  <c r="H47" i="28" s="1"/>
  <c r="L43" i="8"/>
  <c r="K42" i="14"/>
  <c r="H39" i="28" s="1"/>
  <c r="L35" i="8"/>
  <c r="K34" i="14"/>
  <c r="H31" i="28" s="1"/>
  <c r="L27" i="8"/>
  <c r="K30" i="14"/>
  <c r="H27" i="28" s="1"/>
  <c r="L23" i="8"/>
  <c r="K26" i="14"/>
  <c r="H23" i="28" s="1"/>
  <c r="L19" i="8"/>
  <c r="K22" i="14"/>
  <c r="H19" i="28" s="1"/>
  <c r="L15" i="8"/>
  <c r="K18" i="14"/>
  <c r="H15" i="28" s="1"/>
  <c r="L11" i="8"/>
  <c r="K13" i="14"/>
  <c r="H10" i="28" s="1"/>
  <c r="L6" i="8"/>
  <c r="K83" i="14"/>
  <c r="H80" i="28" s="1"/>
  <c r="L76" i="8"/>
  <c r="K71" i="14"/>
  <c r="H68" i="28" s="1"/>
  <c r="L64" i="8"/>
  <c r="K63" i="14"/>
  <c r="H60" i="28" s="1"/>
  <c r="L56" i="8"/>
  <c r="K59" i="14"/>
  <c r="H56" i="28" s="1"/>
  <c r="L52" i="8"/>
  <c r="K47" i="14"/>
  <c r="H44" i="28" s="1"/>
  <c r="L40" i="8"/>
  <c r="K43" i="14"/>
  <c r="H40" i="28" s="1"/>
  <c r="L36" i="8"/>
  <c r="K39" i="14"/>
  <c r="H36" i="28" s="1"/>
  <c r="L32" i="8"/>
  <c r="K35" i="14"/>
  <c r="H32" i="28" s="1"/>
  <c r="L28" i="8"/>
  <c r="K31" i="14"/>
  <c r="H28" i="28" s="1"/>
  <c r="L24" i="8"/>
  <c r="K27" i="14"/>
  <c r="H24" i="28" s="1"/>
  <c r="L20" i="8"/>
  <c r="K23" i="14"/>
  <c r="H20" i="28" s="1"/>
  <c r="L16" i="8"/>
  <c r="K19" i="14"/>
  <c r="H16" i="28" s="1"/>
  <c r="L12" i="8"/>
  <c r="K14" i="14"/>
  <c r="H11" i="28" s="1"/>
  <c r="L7" i="8"/>
  <c r="K86" i="14"/>
  <c r="H83" i="28" s="1"/>
  <c r="L79" i="8"/>
  <c r="K70" i="14"/>
  <c r="H67" i="28" s="1"/>
  <c r="L63" i="8"/>
  <c r="K38" i="14"/>
  <c r="H35" i="28" s="1"/>
  <c r="L31" i="8"/>
  <c r="K75" i="14"/>
  <c r="H72" i="28" s="1"/>
  <c r="L68" i="8"/>
  <c r="K51" i="14"/>
  <c r="H48" i="28" s="1"/>
  <c r="L44" i="8"/>
  <c r="K84" i="14"/>
  <c r="H81" i="28" s="1"/>
  <c r="L77" i="8"/>
  <c r="K80" i="14"/>
  <c r="H77" i="28" s="1"/>
  <c r="L73" i="8"/>
  <c r="K76" i="14"/>
  <c r="H73" i="28" s="1"/>
  <c r="L69" i="8"/>
  <c r="K72" i="14"/>
  <c r="H69" i="28" s="1"/>
  <c r="L65" i="8"/>
  <c r="K68" i="14"/>
  <c r="H65" i="28" s="1"/>
  <c r="L61" i="8"/>
  <c r="K64" i="14"/>
  <c r="H61" i="28" s="1"/>
  <c r="L57" i="8"/>
  <c r="K60" i="14"/>
  <c r="H57" i="28" s="1"/>
  <c r="L53" i="8"/>
  <c r="K56" i="14"/>
  <c r="H53" i="28" s="1"/>
  <c r="L49" i="8"/>
  <c r="K52" i="14"/>
  <c r="H49" i="28" s="1"/>
  <c r="L45" i="8"/>
  <c r="K48" i="14"/>
  <c r="H45" i="28" s="1"/>
  <c r="L41" i="8"/>
  <c r="K44" i="14"/>
  <c r="H41" i="28" s="1"/>
  <c r="L37" i="8"/>
  <c r="K40" i="14"/>
  <c r="H37" i="28" s="1"/>
  <c r="L33" i="8"/>
  <c r="K36" i="14"/>
  <c r="H33" i="28" s="1"/>
  <c r="L29" i="8"/>
  <c r="K32" i="14"/>
  <c r="H29" i="28" s="1"/>
  <c r="L25" i="8"/>
  <c r="K28" i="14"/>
  <c r="H25" i="28" s="1"/>
  <c r="L21" i="8"/>
  <c r="K24" i="14"/>
  <c r="H21" i="28" s="1"/>
  <c r="L17" i="8"/>
  <c r="K20" i="14"/>
  <c r="H17" i="28" s="1"/>
  <c r="L13" i="8"/>
  <c r="K16" i="14"/>
  <c r="H13" i="28" s="1"/>
  <c r="L9" i="8"/>
  <c r="K82" i="14"/>
  <c r="H79" i="28" s="1"/>
  <c r="L75" i="8"/>
  <c r="K74" i="14"/>
  <c r="H71" i="28" s="1"/>
  <c r="L67" i="8"/>
  <c r="K62" i="14"/>
  <c r="H59" i="28" s="1"/>
  <c r="L55" i="8"/>
  <c r="K54" i="14"/>
  <c r="H51" i="28" s="1"/>
  <c r="L47" i="8"/>
  <c r="K46" i="14"/>
  <c r="H43" i="28" s="1"/>
  <c r="L39" i="8"/>
  <c r="K87" i="14"/>
  <c r="H84" i="28" s="1"/>
  <c r="L80" i="8"/>
  <c r="K79" i="14"/>
  <c r="H76" i="28" s="1"/>
  <c r="L72" i="8"/>
  <c r="K67" i="14"/>
  <c r="H64" i="28" s="1"/>
  <c r="L60" i="8"/>
  <c r="K55" i="14"/>
  <c r="H52" i="28" s="1"/>
  <c r="L48" i="8"/>
  <c r="K88" i="14"/>
  <c r="H85" i="28" s="1"/>
  <c r="L81" i="8"/>
  <c r="K11" i="14"/>
  <c r="H8" i="28" s="1"/>
  <c r="L4" i="8"/>
  <c r="K85" i="14"/>
  <c r="H82" i="28" s="1"/>
  <c r="L78" i="8"/>
  <c r="K81" i="14"/>
  <c r="H78" i="28" s="1"/>
  <c r="L74" i="8"/>
  <c r="K77" i="14"/>
  <c r="H74" i="28" s="1"/>
  <c r="L70" i="8"/>
  <c r="K73" i="14"/>
  <c r="H70" i="28" s="1"/>
  <c r="L66" i="8"/>
  <c r="K69" i="14"/>
  <c r="H66" i="28" s="1"/>
  <c r="L62" i="8"/>
  <c r="K65" i="14"/>
  <c r="H62" i="28" s="1"/>
  <c r="L58" i="8"/>
  <c r="K61" i="14"/>
  <c r="H58" i="28" s="1"/>
  <c r="L54" i="8"/>
  <c r="K57" i="14"/>
  <c r="H54" i="28" s="1"/>
  <c r="L50" i="8"/>
  <c r="K53" i="14"/>
  <c r="H50" i="28" s="1"/>
  <c r="L46" i="8"/>
  <c r="K49" i="14"/>
  <c r="H46" i="28" s="1"/>
  <c r="L42" i="8"/>
  <c r="K45" i="14"/>
  <c r="H42" i="28" s="1"/>
  <c r="L38" i="8"/>
  <c r="K41" i="14"/>
  <c r="H38" i="28" s="1"/>
  <c r="L34" i="8"/>
  <c r="K37" i="14"/>
  <c r="H34" i="28" s="1"/>
  <c r="L30" i="8"/>
  <c r="K33" i="14"/>
  <c r="H30" i="28" s="1"/>
  <c r="L26" i="8"/>
  <c r="K29" i="14"/>
  <c r="H26" i="28" s="1"/>
  <c r="L22" i="8"/>
  <c r="K25" i="14"/>
  <c r="H22" i="28" s="1"/>
  <c r="L18" i="8"/>
  <c r="K21" i="14"/>
  <c r="H18" i="28" s="1"/>
  <c r="L14" i="8"/>
  <c r="K17" i="14"/>
  <c r="H14" i="28" s="1"/>
  <c r="L10" i="8"/>
  <c r="K12" i="14"/>
  <c r="H9" i="28" s="1"/>
  <c r="H86" i="28" s="1"/>
  <c r="L5" i="8"/>
  <c r="K83" i="8"/>
  <c r="K86" i="8" s="1"/>
  <c r="J83" i="8"/>
  <c r="J86" i="8" s="1"/>
  <c r="K89" i="14" l="1"/>
  <c r="Q5" i="14" s="1"/>
  <c r="L17" i="14"/>
  <c r="L41" i="14"/>
  <c r="L57" i="14"/>
  <c r="L73" i="14"/>
  <c r="L81" i="14"/>
  <c r="L55" i="14"/>
  <c r="L62" i="14"/>
  <c r="L20" i="14"/>
  <c r="L28" i="14"/>
  <c r="L44" i="14"/>
  <c r="L52" i="14"/>
  <c r="L68" i="14"/>
  <c r="L76" i="14"/>
  <c r="L75" i="14"/>
  <c r="L14" i="14"/>
  <c r="L23" i="14"/>
  <c r="L31" i="14"/>
  <c r="L39" i="14"/>
  <c r="L63" i="14"/>
  <c r="L83" i="14"/>
  <c r="L18" i="14"/>
  <c r="L26" i="14"/>
  <c r="L34" i="14"/>
  <c r="L50" i="14"/>
  <c r="L66" i="14"/>
  <c r="L12" i="14"/>
  <c r="L21" i="14"/>
  <c r="L29" i="14"/>
  <c r="L37" i="14"/>
  <c r="L45" i="14"/>
  <c r="L53" i="14"/>
  <c r="L61" i="14"/>
  <c r="L69" i="14"/>
  <c r="L77" i="14"/>
  <c r="L85" i="14"/>
  <c r="L88" i="14"/>
  <c r="L67" i="14"/>
  <c r="L87" i="14"/>
  <c r="L54" i="14"/>
  <c r="L74" i="14"/>
  <c r="L16" i="14"/>
  <c r="L24" i="14"/>
  <c r="L32" i="14"/>
  <c r="L40" i="14"/>
  <c r="L48" i="14"/>
  <c r="L56" i="14"/>
  <c r="L64" i="14"/>
  <c r="L72" i="14"/>
  <c r="L80" i="14"/>
  <c r="L51" i="14"/>
  <c r="L38" i="14"/>
  <c r="L86" i="14"/>
  <c r="L19" i="14"/>
  <c r="L27" i="14"/>
  <c r="L35" i="14"/>
  <c r="L43" i="14"/>
  <c r="L59" i="14"/>
  <c r="L71" i="14"/>
  <c r="L13" i="14"/>
  <c r="L22" i="14"/>
  <c r="L30" i="14"/>
  <c r="L42" i="14"/>
  <c r="L58" i="14"/>
  <c r="L78" i="14"/>
  <c r="L33" i="14"/>
  <c r="L79" i="14"/>
  <c r="L70" i="14"/>
  <c r="L25" i="14"/>
  <c r="L49" i="14"/>
  <c r="L65" i="14"/>
  <c r="L11" i="14"/>
  <c r="L46" i="14"/>
  <c r="L82" i="14"/>
  <c r="L36" i="14"/>
  <c r="L60" i="14"/>
  <c r="L84" i="14"/>
  <c r="L47" i="14"/>
  <c r="L89" i="14" l="1"/>
  <c r="R5" i="14" s="1"/>
  <c r="C46" i="10" l="1"/>
  <c r="C45" i="10"/>
  <c r="G71" i="14" l="1"/>
  <c r="H56" i="14" l="1"/>
  <c r="H88" i="14"/>
  <c r="H49" i="14"/>
  <c r="H86" i="14"/>
  <c r="H38" i="14"/>
  <c r="H51" i="14"/>
  <c r="H31" i="14"/>
  <c r="H12" i="14"/>
  <c r="H28" i="14"/>
  <c r="H44" i="14"/>
  <c r="H60" i="14"/>
  <c r="H76" i="14"/>
  <c r="H21" i="14"/>
  <c r="H37" i="14"/>
  <c r="H53" i="14"/>
  <c r="H69" i="14"/>
  <c r="H85" i="14"/>
  <c r="H26" i="14"/>
  <c r="H42" i="14"/>
  <c r="H74" i="14"/>
  <c r="H63" i="14"/>
  <c r="H19" i="14"/>
  <c r="H35" i="14"/>
  <c r="H55" i="14"/>
  <c r="H79" i="14"/>
  <c r="H40" i="14"/>
  <c r="H72" i="14"/>
  <c r="H17" i="14"/>
  <c r="H65" i="14"/>
  <c r="H54" i="14"/>
  <c r="H22" i="14"/>
  <c r="H66" i="14"/>
  <c r="H15" i="14"/>
  <c r="H47" i="14"/>
  <c r="H16" i="14"/>
  <c r="H48" i="14"/>
  <c r="H64" i="14"/>
  <c r="H25" i="14"/>
  <c r="H41" i="14"/>
  <c r="H57" i="14"/>
  <c r="H73" i="14"/>
  <c r="H11" i="14"/>
  <c r="H89" i="14" s="1"/>
  <c r="H70" i="14"/>
  <c r="H14" i="14"/>
  <c r="H30" i="14"/>
  <c r="H50" i="14"/>
  <c r="H82" i="14"/>
  <c r="H75" i="14"/>
  <c r="H23" i="14"/>
  <c r="H39" i="14"/>
  <c r="H59" i="14"/>
  <c r="H87" i="14"/>
  <c r="H24" i="14"/>
  <c r="H33" i="14"/>
  <c r="H81" i="14"/>
  <c r="H71" i="14"/>
  <c r="H32" i="14"/>
  <c r="H80" i="14"/>
  <c r="H20" i="14"/>
  <c r="H36" i="14"/>
  <c r="H52" i="14"/>
  <c r="H68" i="14"/>
  <c r="H84" i="14"/>
  <c r="H13" i="14"/>
  <c r="H29" i="14"/>
  <c r="H45" i="14"/>
  <c r="H61" i="14"/>
  <c r="H77" i="14"/>
  <c r="H46" i="14"/>
  <c r="H78" i="14"/>
  <c r="H18" i="14"/>
  <c r="H34" i="14"/>
  <c r="H58" i="14"/>
  <c r="H83" i="14"/>
  <c r="H27" i="14"/>
  <c r="H43" i="14"/>
  <c r="H67" i="14"/>
  <c r="G15" i="14"/>
  <c r="G84" i="14"/>
  <c r="G51" i="14"/>
  <c r="G39" i="14"/>
  <c r="G63" i="14"/>
  <c r="G26" i="14"/>
  <c r="G42" i="14"/>
  <c r="G58" i="14"/>
  <c r="G74" i="14"/>
  <c r="G75" i="14"/>
  <c r="G80" i="14"/>
  <c r="G22" i="14"/>
  <c r="G38" i="14"/>
  <c r="G54" i="14"/>
  <c r="G70" i="14"/>
  <c r="G86" i="14"/>
  <c r="G83" i="14"/>
  <c r="G14" i="14"/>
  <c r="G30" i="14"/>
  <c r="G46" i="14"/>
  <c r="G62" i="14"/>
  <c r="G78" i="14"/>
  <c r="G18" i="14"/>
  <c r="G34" i="14"/>
  <c r="G50" i="14"/>
  <c r="G66" i="14"/>
  <c r="G82" i="14"/>
  <c r="G27" i="14"/>
  <c r="G24" i="14"/>
  <c r="G72" i="14"/>
  <c r="G88" i="14"/>
  <c r="G56" i="14"/>
  <c r="G23" i="14"/>
  <c r="G47" i="14"/>
  <c r="G16" i="14"/>
  <c r="G32" i="14"/>
  <c r="G48" i="14"/>
  <c r="G64" i="14"/>
  <c r="G40" i="14"/>
  <c r="G20" i="14"/>
  <c r="G36" i="14"/>
  <c r="G68" i="14"/>
  <c r="G31" i="14"/>
  <c r="G43" i="14"/>
  <c r="G55" i="14"/>
  <c r="G67" i="14"/>
  <c r="G79" i="14"/>
  <c r="G76" i="14"/>
  <c r="G19" i="14"/>
  <c r="G35" i="14"/>
  <c r="G59" i="14"/>
  <c r="G87" i="14"/>
  <c r="G44" i="14"/>
  <c r="G60" i="14"/>
  <c r="G25" i="14"/>
  <c r="G45" i="14"/>
  <c r="G61" i="14"/>
  <c r="G77" i="14"/>
  <c r="G21" i="14"/>
  <c r="G33" i="14"/>
  <c r="G49" i="14"/>
  <c r="G65" i="14"/>
  <c r="G81" i="14"/>
  <c r="H62" i="14"/>
  <c r="G13" i="14"/>
  <c r="G37" i="14"/>
  <c r="G53" i="14"/>
  <c r="G69" i="14"/>
  <c r="G85" i="14"/>
  <c r="G12" i="14"/>
  <c r="G28" i="14"/>
  <c r="G52" i="14"/>
  <c r="G17" i="14"/>
  <c r="G29" i="14"/>
  <c r="G41" i="14"/>
  <c r="G57" i="14"/>
  <c r="G73" i="14"/>
  <c r="G11" i="14"/>
  <c r="G89" i="14" s="1"/>
  <c r="C2" i="3" l="1"/>
  <c r="C3" i="3" s="1"/>
  <c r="I8" i="10"/>
  <c r="G8" i="10"/>
  <c r="H8" i="10"/>
  <c r="C5" i="3" l="1"/>
  <c r="C7" i="3"/>
  <c r="C9" i="3"/>
  <c r="C11" i="3"/>
  <c r="C6" i="3"/>
  <c r="C10" i="3"/>
  <c r="C16" i="3"/>
  <c r="C19" i="3"/>
  <c r="C24" i="3"/>
  <c r="C27" i="3"/>
  <c r="C32" i="3"/>
  <c r="C35" i="3"/>
  <c r="C40" i="3"/>
  <c r="C43" i="3"/>
  <c r="C48" i="3"/>
  <c r="C51" i="3"/>
  <c r="C56" i="3"/>
  <c r="C59" i="3"/>
  <c r="C64" i="3"/>
  <c r="C67" i="3"/>
  <c r="C72" i="3"/>
  <c r="C75" i="3"/>
  <c r="C80" i="3"/>
  <c r="C14" i="3"/>
  <c r="C17" i="3"/>
  <c r="C22" i="3"/>
  <c r="C25" i="3"/>
  <c r="C30" i="3"/>
  <c r="C33" i="3"/>
  <c r="C38" i="3"/>
  <c r="C41" i="3"/>
  <c r="C46" i="3"/>
  <c r="C49" i="3"/>
  <c r="C54" i="3"/>
  <c r="C57" i="3"/>
  <c r="C62" i="3"/>
  <c r="C65" i="3"/>
  <c r="C70" i="3"/>
  <c r="C73" i="3"/>
  <c r="C78" i="3"/>
  <c r="C4" i="3"/>
  <c r="C8" i="3"/>
  <c r="C12" i="3"/>
  <c r="C15" i="3"/>
  <c r="C20" i="3"/>
  <c r="C23" i="3"/>
  <c r="C28" i="3"/>
  <c r="C31" i="3"/>
  <c r="C36" i="3"/>
  <c r="C39" i="3"/>
  <c r="C44" i="3"/>
  <c r="C47" i="3"/>
  <c r="C52" i="3"/>
  <c r="C55" i="3"/>
  <c r="C60" i="3"/>
  <c r="C63" i="3"/>
  <c r="C68" i="3"/>
  <c r="C71" i="3"/>
  <c r="C76" i="3"/>
  <c r="C79" i="3"/>
  <c r="C13" i="3"/>
  <c r="C18" i="3"/>
  <c r="C21" i="3"/>
  <c r="C26" i="3"/>
  <c r="C29" i="3"/>
  <c r="C34" i="3"/>
  <c r="C37" i="3"/>
  <c r="C42" i="3"/>
  <c r="C45" i="3"/>
  <c r="C50" i="3"/>
  <c r="C53" i="3"/>
  <c r="C58" i="3"/>
  <c r="C61" i="3"/>
  <c r="C66" i="3"/>
  <c r="C69" i="3"/>
  <c r="C74" i="3"/>
  <c r="C77" i="3"/>
  <c r="I82" i="14" l="1"/>
  <c r="G79" i="28" s="1"/>
  <c r="I87" i="14"/>
  <c r="G84" i="28" s="1"/>
  <c r="I39" i="14"/>
  <c r="G36" i="28" s="1"/>
  <c r="I23" i="14"/>
  <c r="G20" i="28" s="1"/>
  <c r="I86" i="14"/>
  <c r="G83" i="28" s="1"/>
  <c r="I70" i="14"/>
  <c r="G67" i="28" s="1"/>
  <c r="I54" i="14"/>
  <c r="G51" i="28" s="1"/>
  <c r="I75" i="14"/>
  <c r="G72" i="28" s="1"/>
  <c r="I43" i="14"/>
  <c r="G40" i="28" s="1"/>
  <c r="I27" i="14"/>
  <c r="G24" i="28" s="1"/>
  <c r="I19" i="14"/>
  <c r="G16" i="28" s="1"/>
  <c r="I11" i="14"/>
  <c r="G8" i="28" s="1"/>
  <c r="I66" i="14"/>
  <c r="G63" i="28" s="1"/>
  <c r="I71" i="14"/>
  <c r="G68" i="28" s="1"/>
  <c r="I22" i="14"/>
  <c r="G19" i="28" s="1"/>
  <c r="I69" i="14"/>
  <c r="G66" i="28" s="1"/>
  <c r="I21" i="14"/>
  <c r="G18" i="28" s="1"/>
  <c r="I44" i="14"/>
  <c r="G41" i="28" s="1"/>
  <c r="I73" i="14"/>
  <c r="G70" i="28" s="1"/>
  <c r="I64" i="14"/>
  <c r="G61" i="28" s="1"/>
  <c r="I13" i="14"/>
  <c r="G10" i="28" s="1"/>
  <c r="I50" i="14"/>
  <c r="G47" i="28" s="1"/>
  <c r="I55" i="14"/>
  <c r="G52" i="28" s="1"/>
  <c r="I38" i="14"/>
  <c r="G35" i="28" s="1"/>
  <c r="I85" i="14"/>
  <c r="G82" i="28" s="1"/>
  <c r="I37" i="14"/>
  <c r="G34" i="28" s="1"/>
  <c r="I60" i="14"/>
  <c r="G57" i="28" s="1"/>
  <c r="I12" i="14"/>
  <c r="G9" i="28" s="1"/>
  <c r="I41" i="14"/>
  <c r="G38" i="28" s="1"/>
  <c r="I80" i="14"/>
  <c r="G77" i="28" s="1"/>
  <c r="I32" i="14"/>
  <c r="G29" i="28" s="1"/>
  <c r="I74" i="14"/>
  <c r="G71" i="28" s="1"/>
  <c r="I42" i="14"/>
  <c r="G39" i="28" s="1"/>
  <c r="I47" i="14"/>
  <c r="G44" i="28" s="1"/>
  <c r="I46" i="14"/>
  <c r="G43" i="28" s="1"/>
  <c r="I15" i="14"/>
  <c r="G12" i="28" s="1"/>
  <c r="I34" i="14"/>
  <c r="G31" i="28" s="1"/>
  <c r="I59" i="14"/>
  <c r="G56" i="28" s="1"/>
  <c r="I53" i="14"/>
  <c r="G50" i="28" s="1"/>
  <c r="I76" i="14"/>
  <c r="G73" i="28" s="1"/>
  <c r="I28" i="14"/>
  <c r="G25" i="28" s="1"/>
  <c r="I57" i="14"/>
  <c r="G54" i="28" s="1"/>
  <c r="I25" i="14"/>
  <c r="G22" i="28" s="1"/>
  <c r="I48" i="14"/>
  <c r="G45" i="28" s="1"/>
  <c r="I14" i="14"/>
  <c r="G11" i="28" s="1"/>
  <c r="I58" i="14"/>
  <c r="G55" i="28" s="1"/>
  <c r="I26" i="14"/>
  <c r="G23" i="28" s="1"/>
  <c r="I79" i="14"/>
  <c r="G76" i="28" s="1"/>
  <c r="I63" i="14"/>
  <c r="G60" i="28" s="1"/>
  <c r="I31" i="14"/>
  <c r="G28" i="28" s="1"/>
  <c r="I16" i="14"/>
  <c r="G13" i="28" s="1"/>
  <c r="I78" i="14"/>
  <c r="G75" i="28" s="1"/>
  <c r="I62" i="14"/>
  <c r="G59" i="28" s="1"/>
  <c r="I30" i="14"/>
  <c r="G27" i="28" s="1"/>
  <c r="I83" i="14"/>
  <c r="G80" i="28" s="1"/>
  <c r="I67" i="14"/>
  <c r="G64" i="28" s="1"/>
  <c r="I51" i="14"/>
  <c r="G48" i="28" s="1"/>
  <c r="I35" i="14"/>
  <c r="G32" i="28" s="1"/>
  <c r="I18" i="14"/>
  <c r="G15" i="28" s="1"/>
  <c r="I77" i="14"/>
  <c r="G74" i="28" s="1"/>
  <c r="I61" i="14"/>
  <c r="G58" i="28" s="1"/>
  <c r="I45" i="14"/>
  <c r="G42" i="28" s="1"/>
  <c r="I29" i="14"/>
  <c r="G26" i="28" s="1"/>
  <c r="I84" i="14"/>
  <c r="G81" i="28" s="1"/>
  <c r="I68" i="14"/>
  <c r="G65" i="28" s="1"/>
  <c r="I52" i="14"/>
  <c r="G49" i="28" s="1"/>
  <c r="I36" i="14"/>
  <c r="G33" i="28" s="1"/>
  <c r="I20" i="14"/>
  <c r="G17" i="28" s="1"/>
  <c r="I81" i="14"/>
  <c r="G78" i="28" s="1"/>
  <c r="I65" i="14"/>
  <c r="G62" i="28" s="1"/>
  <c r="I49" i="14"/>
  <c r="G46" i="28" s="1"/>
  <c r="I33" i="14"/>
  <c r="G30" i="28" s="1"/>
  <c r="I88" i="14"/>
  <c r="G85" i="28" s="1"/>
  <c r="I72" i="14"/>
  <c r="G69" i="28" s="1"/>
  <c r="I56" i="14"/>
  <c r="G53" i="28" s="1"/>
  <c r="I40" i="14"/>
  <c r="G37" i="28" s="1"/>
  <c r="I24" i="14"/>
  <c r="G21" i="28" s="1"/>
  <c r="I17" i="14"/>
  <c r="G14" i="28" s="1"/>
  <c r="C82" i="3"/>
  <c r="C84" i="3" s="1"/>
  <c r="G86" i="28" l="1"/>
  <c r="I89" i="14"/>
  <c r="Q4" i="14" s="1"/>
  <c r="R4" i="14"/>
</calcChain>
</file>

<file path=xl/comments1.xml><?xml version="1.0" encoding="utf-8"?>
<comments xmlns="http://schemas.openxmlformats.org/spreadsheetml/2006/main">
  <authors>
    <author>Mariana.pereira</author>
  </authors>
  <commentList>
    <comment ref="N1" authorId="0" shapeId="0">
      <text>
        <r>
          <rPr>
            <b/>
            <sz val="9"/>
            <color indexed="81"/>
            <rFont val="Segoe UI"/>
            <family val="2"/>
          </rPr>
          <t>Mariana.pereira:</t>
        </r>
        <r>
          <rPr>
            <sz val="9"/>
            <color indexed="81"/>
            <rFont val="Segoe UI"/>
            <family val="2"/>
          </rPr>
          <t xml:space="preserve">
Esses valores são os demonstrados no Anexo II - A transferir</t>
        </r>
      </text>
    </comment>
  </commentList>
</comments>
</file>

<file path=xl/comments2.xml><?xml version="1.0" encoding="utf-8"?>
<comments xmlns="http://schemas.openxmlformats.org/spreadsheetml/2006/main">
  <authors>
    <author>Mariana.pereira</author>
  </authors>
  <commentList>
    <comment ref="N1" authorId="0" shapeId="0">
      <text>
        <r>
          <rPr>
            <b/>
            <sz val="9"/>
            <color indexed="81"/>
            <rFont val="Segoe UI"/>
            <family val="2"/>
          </rPr>
          <t>Mariana.pereira:</t>
        </r>
        <r>
          <rPr>
            <sz val="9"/>
            <color indexed="81"/>
            <rFont val="Segoe UI"/>
            <family val="2"/>
          </rPr>
          <t xml:space="preserve">
Esses valores são os demonstrados no Anexo II - A transferir</t>
        </r>
      </text>
    </comment>
  </commentList>
</comments>
</file>

<file path=xl/sharedStrings.xml><?xml version="1.0" encoding="utf-8"?>
<sst xmlns="http://schemas.openxmlformats.org/spreadsheetml/2006/main" count="1364" uniqueCount="633">
  <si>
    <t>MUNICIPIO</t>
  </si>
  <si>
    <t>FUNDEB</t>
  </si>
  <si>
    <t>TOTAL</t>
  </si>
  <si>
    <t>Total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</si>
  <si>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</si>
  <si>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</si>
  <si>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</si>
  <si>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</si>
  <si>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</si>
  <si>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</si>
  <si>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</si>
  <si>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</si>
  <si>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</si>
  <si>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</si>
  <si>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</si>
  <si>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</si>
  <si>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BOM JESUS DO NORTE</t>
  </si>
  <si>
    <t>BREJETUBA</t>
  </si>
  <si>
    <t>CACHOEIRO DE ITAPEMIRIM</t>
  </si>
  <si>
    <t>CARIACICA</t>
  </si>
  <si>
    <t>CASTELO</t>
  </si>
  <si>
    <t>COLATINA</t>
  </si>
  <si>
    <t>DOMINGOS MARTINS</t>
  </si>
  <si>
    <t>DORES DO RIO PRETO</t>
  </si>
  <si>
    <t>ECOPORANGA</t>
  </si>
  <si>
    <t>FUNDAO</t>
  </si>
  <si>
    <t>GOVERNADOR LINDENBERG</t>
  </si>
  <si>
    <t>GUARAPARI</t>
  </si>
  <si>
    <t>IBATIBA</t>
  </si>
  <si>
    <t>IBITIRAMA</t>
  </si>
  <si>
    <t>ICONHA</t>
  </si>
  <si>
    <t>IRUPI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</si>
  <si>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</si>
  <si>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</si>
  <si>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</si>
  <si>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</si>
  <si>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</si>
  <si>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</si>
  <si>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</si>
  <si>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</si>
  <si>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</si>
  <si>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</si>
  <si>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</si>
  <si>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</si>
  <si>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</si>
  <si>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</si>
  <si>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</si>
  <si>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</si>
  <si>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</si>
  <si>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</si>
  <si>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</si>
  <si>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</si>
  <si>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</si>
  <si>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</si>
  <si>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PONTO BELO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</si>
  <si>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</si>
  <si>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</si>
  <si>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</si>
  <si>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</si>
  <si>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</si>
  <si>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</si>
  <si>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</si>
  <si>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MATEUS</t>
  </si>
  <si>
    <t>SAO ROQUE DO CANAA</t>
  </si>
  <si>
    <t>SERRA</t>
  </si>
  <si>
    <t>SOORETAMA</t>
  </si>
  <si>
    <t>VARGEM ALTA</t>
  </si>
  <si>
    <t>VENDA NOVA DO IMIGRANTE</t>
  </si>
  <si>
    <t>VIANA</t>
  </si>
  <si>
    <t>VILA PAVAO</t>
  </si>
  <si>
    <t>VILA VALERIO</t>
  </si>
  <si>
    <t>VILA VELHA</t>
  </si>
  <si>
    <t>VITORIA</t>
  </si>
  <si>
    <t>BOA ESPERANﾇA</t>
  </si>
  <si>
    <t>CONCEIﾇAO DA BARRA</t>
  </si>
  <si>
    <t>CONCEIﾇAO DO CASTELO</t>
  </si>
  <si>
    <t>DIVINO SAO LOURENﾇO</t>
  </si>
  <si>
    <t>GUAﾇUI</t>
  </si>
  <si>
    <t>IBIRAﾇU</t>
  </si>
  <si>
    <t>ITAGUAﾇU</t>
  </si>
  <si>
    <t>PINHEIRO</t>
  </si>
  <si>
    <t>SAO GRABRIEL DA PALHA</t>
  </si>
  <si>
    <t>SAO JOSE DO CALﾇADO</t>
  </si>
  <si>
    <t>ICMS</t>
  </si>
  <si>
    <t>5611-1 ARACRUZ</t>
  </si>
  <si>
    <t>5623-5 CACHOEIRO DE ITAPEMIRIM</t>
  </si>
  <si>
    <t>5627-8 CASTELO</t>
  </si>
  <si>
    <t>5709-6 IBATIBA</t>
  </si>
  <si>
    <t>5723-1 LARANJA DA TERRA</t>
  </si>
  <si>
    <t>2929-7 MARECHAL FLORIANO</t>
  </si>
  <si>
    <t>5707-0 MARILANDIA</t>
  </si>
  <si>
    <t>764-1 SAO ROQUE DO CANAA</t>
  </si>
  <si>
    <t>5699-5 SERRA</t>
  </si>
  <si>
    <t>766-8 SOORETAMA</t>
  </si>
  <si>
    <t>5727-4 VARGEM ALTA</t>
  </si>
  <si>
    <t>5729-0 VENDA NOVA DO IMIGRANTE</t>
  </si>
  <si>
    <t>2935-1 VILA PAVAO</t>
  </si>
  <si>
    <t>768-4 VILA VALERIO</t>
  </si>
  <si>
    <t>PARCELA</t>
  </si>
  <si>
    <t>VALOR DISTRIBUIDO</t>
  </si>
  <si>
    <t>IPI - ESTADO</t>
  </si>
  <si>
    <t>IPI-MUNICIPIOS</t>
  </si>
  <si>
    <t>PASEP ESTADO</t>
  </si>
  <si>
    <t>PASEP MUNICIPIO</t>
  </si>
  <si>
    <t>FUNDEB ESTADO</t>
  </si>
  <si>
    <t>FUNDEB MUNICIP</t>
  </si>
  <si>
    <t>TOTAL:</t>
  </si>
  <si>
    <t>DEBITO FUNDO</t>
  </si>
  <si>
    <t>CREDITO FUNDO</t>
  </si>
  <si>
    <t>C</t>
  </si>
  <si>
    <t>D</t>
  </si>
  <si>
    <t>DATA</t>
  </si>
  <si>
    <t>IPI-MUNIC</t>
  </si>
  <si>
    <t>PASEP-MUNIC</t>
  </si>
  <si>
    <t>FUNDEB MUNIC</t>
  </si>
  <si>
    <t>Valor IPI - BRUTO</t>
  </si>
  <si>
    <t xml:space="preserve">GOVERNO DO ESTADO DO ESPÍRITO SANTO  </t>
  </si>
  <si>
    <t>SECRETARIA DA FAZENDA</t>
  </si>
  <si>
    <t>SUBSECRETARIA DO TESOURO ESTADUAL</t>
  </si>
  <si>
    <t>MUNICÍPIOS</t>
  </si>
  <si>
    <t>ICMS TOTAL</t>
  </si>
  <si>
    <t xml:space="preserve"> AFONSO CLAUDIO</t>
  </si>
  <si>
    <t xml:space="preserve"> AGUA DOCE DO NORTE</t>
  </si>
  <si>
    <t xml:space="preserve"> AGUIA BRANCA</t>
  </si>
  <si>
    <t xml:space="preserve"> ALEGRE</t>
  </si>
  <si>
    <t xml:space="preserve"> ALFREDO CHAVES</t>
  </si>
  <si>
    <t xml:space="preserve"> ALTO RIO NOVO</t>
  </si>
  <si>
    <t xml:space="preserve"> ANCHIETA</t>
  </si>
  <si>
    <t xml:space="preserve"> APIACA</t>
  </si>
  <si>
    <t xml:space="preserve"> ARACRUZ</t>
  </si>
  <si>
    <t xml:space="preserve"> ATILIO VIVACQUA</t>
  </si>
  <si>
    <t xml:space="preserve"> BAIXO GUANDU</t>
  </si>
  <si>
    <t xml:space="preserve"> BARRA DE SAO FRANCISCO</t>
  </si>
  <si>
    <t xml:space="preserve"> BOA ESPERANÇA</t>
  </si>
  <si>
    <t xml:space="preserve"> BOM JESUS DO NORTE</t>
  </si>
  <si>
    <t xml:space="preserve"> BREJETUBA</t>
  </si>
  <si>
    <t xml:space="preserve"> CACH. ITAPEMIRIM</t>
  </si>
  <si>
    <t xml:space="preserve"> CARIACICA</t>
  </si>
  <si>
    <t xml:space="preserve"> CASTELO</t>
  </si>
  <si>
    <t xml:space="preserve"> COLATINA</t>
  </si>
  <si>
    <t xml:space="preserve"> CONC. DA BARRA</t>
  </si>
  <si>
    <t xml:space="preserve"> CONC. CASTELO</t>
  </si>
  <si>
    <t xml:space="preserve"> DIVINO SÃO LOURENÇO</t>
  </si>
  <si>
    <t xml:space="preserve"> DOMINGOS MARTINS</t>
  </si>
  <si>
    <t xml:space="preserve"> DORES DO RIO PRETO</t>
  </si>
  <si>
    <t xml:space="preserve"> ECOPORANGA</t>
  </si>
  <si>
    <t xml:space="preserve"> FUNDÃO</t>
  </si>
  <si>
    <t xml:space="preserve"> GUAÇUI</t>
  </si>
  <si>
    <t xml:space="preserve"> GUARAPARI</t>
  </si>
  <si>
    <t xml:space="preserve"> IBATIBA</t>
  </si>
  <si>
    <t xml:space="preserve"> IBIRAÇU</t>
  </si>
  <si>
    <t xml:space="preserve"> IBITIRAMA</t>
  </si>
  <si>
    <t xml:space="preserve"> ICONHA</t>
  </si>
  <si>
    <t xml:space="preserve"> IRUPI</t>
  </si>
  <si>
    <t xml:space="preserve"> ITAGUAÇU</t>
  </si>
  <si>
    <t xml:space="preserve"> ITAPEMIRIM</t>
  </si>
  <si>
    <t xml:space="preserve"> ITARANA</t>
  </si>
  <si>
    <t xml:space="preserve"> IUNA</t>
  </si>
  <si>
    <t xml:space="preserve"> JERONIMO MONTEIRO</t>
  </si>
  <si>
    <t xml:space="preserve"> JOÃO NEIVA</t>
  </si>
  <si>
    <t xml:space="preserve"> LARANJA DA TERRA</t>
  </si>
  <si>
    <t xml:space="preserve"> LINHARES</t>
  </si>
  <si>
    <t xml:space="preserve"> MANTENOPOLIS</t>
  </si>
  <si>
    <t xml:space="preserve"> MARATAIZES</t>
  </si>
  <si>
    <t xml:space="preserve"> MARECHAL FLORIANO</t>
  </si>
  <si>
    <t xml:space="preserve"> MARILANDIA</t>
  </si>
  <si>
    <t xml:space="preserve"> MIMOSO DO SUL</t>
  </si>
  <si>
    <t xml:space="preserve"> MONTANHA</t>
  </si>
  <si>
    <t xml:space="preserve"> MUCURICI</t>
  </si>
  <si>
    <t xml:space="preserve"> MUNIZ FREIRE</t>
  </si>
  <si>
    <t xml:space="preserve"> MUQUI</t>
  </si>
  <si>
    <t xml:space="preserve"> NOVA VENECIA</t>
  </si>
  <si>
    <t xml:space="preserve"> PANCAS</t>
  </si>
  <si>
    <t xml:space="preserve"> PEDRO CANARIO</t>
  </si>
  <si>
    <t xml:space="preserve"> PINHEIROS</t>
  </si>
  <si>
    <t xml:space="preserve"> PIUMA</t>
  </si>
  <si>
    <t xml:space="preserve"> PONTO BELO</t>
  </si>
  <si>
    <t xml:space="preserve"> PRESIDENTE KENNEDY</t>
  </si>
  <si>
    <t xml:space="preserve"> RIO BANANAL</t>
  </si>
  <si>
    <t xml:space="preserve"> RIO NOVO DO SUL</t>
  </si>
  <si>
    <t xml:space="preserve"> SANTA LEOPOLDINA</t>
  </si>
  <si>
    <t xml:space="preserve"> SANTA MARIA DE JETIBA</t>
  </si>
  <si>
    <t xml:space="preserve"> SANTA TERESA</t>
  </si>
  <si>
    <t xml:space="preserve"> SÃO DOMINGOS DO NORTE</t>
  </si>
  <si>
    <t xml:space="preserve"> SÃO GABRIEL DA PALHA</t>
  </si>
  <si>
    <t xml:space="preserve"> SÃO JOSE DO CALÇADO</t>
  </si>
  <si>
    <t xml:space="preserve"> SÃO MATEUS</t>
  </si>
  <si>
    <t xml:space="preserve"> SÃO ROQUE DO CANAÃ</t>
  </si>
  <si>
    <t xml:space="preserve"> SERRA</t>
  </si>
  <si>
    <t xml:space="preserve"> SOORETAMA</t>
  </si>
  <si>
    <t xml:space="preserve"> VARGEM ALTA</t>
  </si>
  <si>
    <t xml:space="preserve"> VENDA NOVA DO IMIGRANTE</t>
  </si>
  <si>
    <t xml:space="preserve"> VIANA</t>
  </si>
  <si>
    <t xml:space="preserve"> VILA PAVÃO</t>
  </si>
  <si>
    <t xml:space="preserve"> VILA VALERIO</t>
  </si>
  <si>
    <t xml:space="preserve"> VILA VELHA</t>
  </si>
  <si>
    <t xml:space="preserve"> VITORIA</t>
  </si>
  <si>
    <t>Fonte: Banco do Estado do Espírito Santo - BANESTES</t>
  </si>
  <si>
    <t>ICMS FUNDAP - Lei 2508 - 25%</t>
  </si>
  <si>
    <t xml:space="preserve">5601-4 AFONSO CLAUDIO </t>
  </si>
  <si>
    <t xml:space="preserve"> 5717-7 AGUA DOCE DO NORTE </t>
  </si>
  <si>
    <t xml:space="preserve">5733-9 AGUIA BRANCA </t>
  </si>
  <si>
    <t xml:space="preserve"> 5603-0 ALEGRE </t>
  </si>
  <si>
    <t xml:space="preserve"> 5605-7 ALFREDO CHAVES </t>
  </si>
  <si>
    <t xml:space="preserve"> 5719-3 ALTO RIO NOVO </t>
  </si>
  <si>
    <t xml:space="preserve"> 5607-3 ANCHIETA </t>
  </si>
  <si>
    <t xml:space="preserve">5609-0 APIACA </t>
  </si>
  <si>
    <t xml:space="preserve"> 5613-8 ATILIO VIVACQUA</t>
  </si>
  <si>
    <t xml:space="preserve"> 5615-4 BAIXO GUANDU </t>
  </si>
  <si>
    <t xml:space="preserve">5617-0 BARRA DE SAO FRANCISCO </t>
  </si>
  <si>
    <t xml:space="preserve"> 5619-7 BOA ESPERANCA </t>
  </si>
  <si>
    <t xml:space="preserve"> 5621-9 BOM JESUS DO NORTE </t>
  </si>
  <si>
    <t xml:space="preserve"> 758-7 BREJETUBA</t>
  </si>
  <si>
    <t xml:space="preserve"> 5625-1 CARIACICA</t>
  </si>
  <si>
    <t xml:space="preserve"> 5629-4 COLATINA </t>
  </si>
  <si>
    <t xml:space="preserve">5631-6 CONCEICAO DA BARRA </t>
  </si>
  <si>
    <t xml:space="preserve"> 5633-2 CONCEICAO DO CASTELO</t>
  </si>
  <si>
    <t xml:space="preserve">5635-9 DIVINO SAO LOURENCO </t>
  </si>
  <si>
    <t xml:space="preserve"> 5637-5 DOMINGOS MARTINS </t>
  </si>
  <si>
    <t xml:space="preserve">5639-1 DORES DO RIO PRETO </t>
  </si>
  <si>
    <t xml:space="preserve">5641-3 ECOPORANGA </t>
  </si>
  <si>
    <t xml:space="preserve">5643-0 FUNDAO </t>
  </si>
  <si>
    <t xml:space="preserve">1114-2 GOVERNADOR LINDEMBERGUE </t>
  </si>
  <si>
    <t xml:space="preserve">5645-6 GUACUI </t>
  </si>
  <si>
    <t xml:space="preserve">5647-2 GUARAPARI </t>
  </si>
  <si>
    <t xml:space="preserve">5649-9 IBIRACU </t>
  </si>
  <si>
    <t xml:space="preserve">6011-9 IBITIRAMA </t>
  </si>
  <si>
    <t xml:space="preserve"> 5651-0 ICONHA </t>
  </si>
  <si>
    <t xml:space="preserve"> 2931-9 IRUPI </t>
  </si>
  <si>
    <t xml:space="preserve">5653-7 ITAGUACU </t>
  </si>
  <si>
    <t xml:space="preserve">5655-3 ITAPEMIRIM </t>
  </si>
  <si>
    <t xml:space="preserve"> 5657-0 ITARANA </t>
  </si>
  <si>
    <t xml:space="preserve">5659-6 IUNA </t>
  </si>
  <si>
    <t xml:space="preserve"> 5713-4 JAGUARE </t>
  </si>
  <si>
    <t xml:space="preserve"> 5661-8 JERONIMO MONTEIRO </t>
  </si>
  <si>
    <t xml:space="preserve">5721-5 JOAO NEIVA </t>
  </si>
  <si>
    <t xml:space="preserve">5663-4 LINHARES </t>
  </si>
  <si>
    <t xml:space="preserve"> 5665-0 MANTENOPOLIS</t>
  </si>
  <si>
    <t xml:space="preserve"> 760-9 MARATAIZES </t>
  </si>
  <si>
    <t xml:space="preserve">5667-7 MIMOSO DO SUL </t>
  </si>
  <si>
    <t xml:space="preserve"> 5669-3 MONTANHA </t>
  </si>
  <si>
    <t xml:space="preserve">5671-5 MUCURICI </t>
  </si>
  <si>
    <t xml:space="preserve"> 5673-1 MUNIZ FREIRE </t>
  </si>
  <si>
    <t xml:space="preserve">5675-8 MUQUI </t>
  </si>
  <si>
    <t xml:space="preserve">5677-4 NOVA VENECIA </t>
  </si>
  <si>
    <t xml:space="preserve"> 5679-0 PANCAS </t>
  </si>
  <si>
    <t xml:space="preserve">5715-0 PEDRO CANARIO </t>
  </si>
  <si>
    <t xml:space="preserve">5681-2 PINHEIRO </t>
  </si>
  <si>
    <t xml:space="preserve">5683-9 PIUMA </t>
  </si>
  <si>
    <t xml:space="preserve"> 762-5 PONTO BELO</t>
  </si>
  <si>
    <t xml:space="preserve"> 5685-5 PRESIDENTE KENNEDY </t>
  </si>
  <si>
    <t xml:space="preserve">5711-8 RIO BANANAL </t>
  </si>
  <si>
    <t xml:space="preserve"> 5687-1 RIO NOVO DO SUL </t>
  </si>
  <si>
    <t xml:space="preserve">5689-8 SANTA LEOPOLDINA </t>
  </si>
  <si>
    <t xml:space="preserve"> 5725-8 SANTA MARIA DE JETIBA </t>
  </si>
  <si>
    <t xml:space="preserve"> 5691-0 SANTA TERESA</t>
  </si>
  <si>
    <t xml:space="preserve">2933-5 SAO DOMINGOS DO NORTE </t>
  </si>
  <si>
    <t xml:space="preserve">5693-6 SAO GABRIEL DA PALHA </t>
  </si>
  <si>
    <t xml:space="preserve"> 5695-2 SAO JOSE DO CALCADO</t>
  </si>
  <si>
    <t xml:space="preserve"> 5697-9 SAO MATEUS</t>
  </si>
  <si>
    <t xml:space="preserve">5701-0 VIANA </t>
  </si>
  <si>
    <t xml:space="preserve">5703-7 VILA VELHA </t>
  </si>
  <si>
    <t xml:space="preserve">5705-3 VITORIA </t>
  </si>
  <si>
    <t>VALOR IPVA</t>
  </si>
  <si>
    <t>VALOR FUNDEB</t>
  </si>
  <si>
    <t>VALOR CREDITADO</t>
  </si>
  <si>
    <t>Divergência</t>
  </si>
  <si>
    <t>Valor IPI - LÍQUIDO</t>
  </si>
  <si>
    <t>TOTAL DOS REPASSES NO PERIODO Conforme Extrato</t>
  </si>
  <si>
    <t>Valor BRUTO</t>
  </si>
  <si>
    <t>Valor LÍQUIDO</t>
  </si>
  <si>
    <t>NOTAS:</t>
  </si>
  <si>
    <t>ICMS - 25%</t>
  </si>
  <si>
    <t>IPI - 25%</t>
  </si>
  <si>
    <t>IPVA - 50%</t>
  </si>
  <si>
    <t>Governo do Estado do Espírito Santo</t>
  </si>
  <si>
    <t/>
  </si>
  <si>
    <t>Balancete</t>
  </si>
  <si>
    <t>Identificação</t>
  </si>
  <si>
    <t>Mês</t>
  </si>
  <si>
    <t>Saldos Zerados?</t>
  </si>
  <si>
    <t>Valor</t>
  </si>
  <si>
    <t>No Mês</t>
  </si>
  <si>
    <t>Conta Contábil</t>
  </si>
  <si>
    <t>Saldo Inicial</t>
  </si>
  <si>
    <t>Débito</t>
  </si>
  <si>
    <t>Crédito</t>
  </si>
  <si>
    <t>Saldo Atual</t>
  </si>
  <si>
    <t>D/C</t>
  </si>
  <si>
    <t xml:space="preserve">    894900000 - TRANSFERÊNCIAS DE VALORES AOS MUNICÍPIOS E AO FUNDEB</t>
  </si>
  <si>
    <t xml:space="preserve">     894910000 - TRANSFERÊNCIAS AOS MUNICÍPIOS - VALORES A REPASSAR</t>
  </si>
  <si>
    <t xml:space="preserve">      894910100 - TRANSFERÊNCIAS AOS MUNICÍPIOS - ICMS PARTE LÍQUIDA</t>
  </si>
  <si>
    <t xml:space="preserve">      894910200 - TRANSFERÊNCIAS AOS MUNICÍPIOS - ICMS PARTE FUNDEB</t>
  </si>
  <si>
    <t xml:space="preserve">      894910500 - TRANSFERÊNCIAS AOS MUNICÍPIOS - IPVA PARTE LÍQUIDA</t>
  </si>
  <si>
    <t xml:space="preserve">      894910600 - TRANSFERÊNCIAS AOS MUNICÍPIOS - IPVA PARTE FUNDEB</t>
  </si>
  <si>
    <t xml:space="preserve">      894911000 - TRANSFERÊNCIAS AOS MUNICÍPIOS - ROYALTIES</t>
  </si>
  <si>
    <t xml:space="preserve">     894920000 - TRANSFERÊNCIAS AOS MUNICÍPIOS - VALORES REPASSADOS</t>
  </si>
  <si>
    <t xml:space="preserve">      894920100 - TRANSFERÊNCIAS AOS MUNICÍPIOS - ICMS PARTE LÍQUIDA</t>
  </si>
  <si>
    <t xml:space="preserve">      894920200 - TRANSFERÊNCIAS AOS MUNICÍPIOS - ICMS PARTE FUNDEB</t>
  </si>
  <si>
    <t xml:space="preserve">      894920500 - TRANSFERÊNCIAS AOS MUNICÍPIOS - IPVA PARTE LÍQUIDA</t>
  </si>
  <si>
    <t xml:space="preserve">      894920600 - TRANSFERÊNCIAS AOS MUNICÍPIOS - IPVA PARTE FUNDEB</t>
  </si>
  <si>
    <t xml:space="preserve">      894920700 - TRANSFERÊNCIAS AOS MUNICÍPIOS - IPI PARTE LÍQUIDA</t>
  </si>
  <si>
    <t xml:space="preserve">      894920800 - TRANSFERÊNCIAS AOS MUNICÍPIOS - IPI PARTE FUNDEB</t>
  </si>
  <si>
    <t xml:space="preserve">      894920900 - TRANSFERÊNCIAS AOS MUNICÍPIOS - CIDE</t>
  </si>
  <si>
    <t xml:space="preserve">      894921000 - TRANSFERÊNCIAS AOS MUNICÍPIOS - ROYALTIES</t>
  </si>
  <si>
    <t xml:space="preserve">      894922000 - TRANSFERÊNCIAS AOS MUNICÍPIOS - RENDIMENTOS DO FUNDEB</t>
  </si>
  <si>
    <t>Diferença</t>
  </si>
  <si>
    <t>Tipo de Relatório</t>
  </si>
  <si>
    <t>Geral (todas as UGs)</t>
  </si>
  <si>
    <t>Extrato</t>
  </si>
  <si>
    <t>Extrato Banestes</t>
  </si>
  <si>
    <t xml:space="preserve"> VALORES A TRANSFERIR</t>
  </si>
  <si>
    <t>Em Reais</t>
  </si>
  <si>
    <t>Valores Extrato</t>
  </si>
  <si>
    <t>Líquido</t>
  </si>
  <si>
    <t>MUNICPIO</t>
  </si>
  <si>
    <t>conferência</t>
  </si>
  <si>
    <t>1 - Para cálculo dos valores devidos a cada Município, deve ser aplicado sobre o valor total o IPM do respectivo Município.</t>
  </si>
  <si>
    <t>Conferências</t>
  </si>
  <si>
    <t xml:space="preserve">      894925000 - TRANSFERÊNCIAS AOS MUNICÍPIOS - COMPENSAÇÕES FINANCEIRAS DO ICMS – ART. 3° LC 194/2022 PARTE LÍQUIDA</t>
  </si>
  <si>
    <t xml:space="preserve">      894926000 - TRANSFERÊNCIAS AOS MUNICÍPIOS - COMPENSAÇÕES FINANCEIRAS DO ICMS – ART. 3° LC 194/2022 PARTE FUNDEB</t>
  </si>
  <si>
    <t>COMP ICMS</t>
  </si>
  <si>
    <t xml:space="preserve">LIQUIDO </t>
  </si>
  <si>
    <t>BOA ESPERANCA</t>
  </si>
  <si>
    <t>CONCEICAO DA BARRA</t>
  </si>
  <si>
    <t>CONCEICAO DO CASTELO</t>
  </si>
  <si>
    <t>DIVINO DE SAO LOURENCO</t>
  </si>
  <si>
    <t>GUACUI</t>
  </si>
  <si>
    <t>IBIRACU</t>
  </si>
  <si>
    <t>ITAGUACU</t>
  </si>
  <si>
    <t>SAO GABRIEL DA PALHA</t>
  </si>
  <si>
    <t>SAO JOSE DO CALCADO</t>
  </si>
  <si>
    <t>Conforme art. 162 da CF/88; art. 8º da LC nº 63/90 e art. 143 da Const. Estadual</t>
  </si>
  <si>
    <t>Municipios</t>
  </si>
  <si>
    <t>FUNDEB Municipio</t>
  </si>
  <si>
    <t>COTA PARTE</t>
  </si>
  <si>
    <t>IPVA</t>
  </si>
  <si>
    <t>ÁGUA DOCE DO NORTE</t>
  </si>
  <si>
    <t>ÁGUIA BRANCA</t>
  </si>
  <si>
    <t>APIACÁ</t>
  </si>
  <si>
    <t>ATÍLIO VIVACQUA</t>
  </si>
  <si>
    <t>BAIXO GUANDÚ</t>
  </si>
  <si>
    <t>BARRA DE S. FRANCISCO</t>
  </si>
  <si>
    <t>BOA ESPERANÇA</t>
  </si>
  <si>
    <t>CACH. ITAPEMIRIM</t>
  </si>
  <si>
    <t>CONC. DA BARRA</t>
  </si>
  <si>
    <t>CONC. DO CASTELO</t>
  </si>
  <si>
    <t>DIVINO SÃO LOURENÇO</t>
  </si>
  <si>
    <t>FUNDÃO</t>
  </si>
  <si>
    <t>GUAÇUI</t>
  </si>
  <si>
    <t>IBIRAÇÚ</t>
  </si>
  <si>
    <t>ITAGUAÇÚ</t>
  </si>
  <si>
    <t>JAGUARÉ</t>
  </si>
  <si>
    <t>JOÃO NEIVA</t>
  </si>
  <si>
    <t>MANTENÓPOLIS</t>
  </si>
  <si>
    <t>MARILÂNDIA</t>
  </si>
  <si>
    <t>NOVA VENÉCIA</t>
  </si>
  <si>
    <t>PEDRO CANÁRIO</t>
  </si>
  <si>
    <t>PIÚMA</t>
  </si>
  <si>
    <t>SANTA MARIA JETIBA</t>
  </si>
  <si>
    <t>SÃO DOMINGOS DO NORTE</t>
  </si>
  <si>
    <t>SÃO GABRIEL DA PALHA</t>
  </si>
  <si>
    <t>SÃO JOSÉ DO CALÇADO</t>
  </si>
  <si>
    <t>SÃO MATEUS</t>
  </si>
  <si>
    <t>SÃO ROQUE DO CANAÃ</t>
  </si>
  <si>
    <t>VENDA  NOVA DO IMIGRANTE</t>
  </si>
  <si>
    <t>VILA PAVÃO</t>
  </si>
  <si>
    <t>VILA VALÉRIO</t>
  </si>
  <si>
    <t>VITÓRIA</t>
  </si>
  <si>
    <t>Conferência</t>
  </si>
  <si>
    <t xml:space="preserve">     894930000 - TRANSFERÊNCIAS AO FUNDEB DEVIDAS PELO ESTADO</t>
  </si>
  <si>
    <t xml:space="preserve">      894930100 - VALORES A REPASSAR AO FUNDEB - ICMS, IPVA E ITCD</t>
  </si>
  <si>
    <t xml:space="preserve">      894930200 - VALORES REPASSADOS AO FUNDEB - ICMS, IPVA E ITCD</t>
  </si>
  <si>
    <t xml:space="preserve">      894930400 - VALORES REPASSADOS AO FUNDEB - COMPENSAÇÕES FINANCEIRAS DO ICMS – ART. 3° LC 194/2022</t>
  </si>
  <si>
    <t xml:space="preserve">      894932100 - VALORES A REPASSAR AO FUNDEB - RENDIMENTOS</t>
  </si>
  <si>
    <t xml:space="preserve">      894932200 - VALORES REPASSADOS AO FUNDEB - RENDIMENTOS</t>
  </si>
  <si>
    <t>6 - Ressalta-se que os valores apresentados não consideram as restituições de ICMS e IPVA debitadas diretamente das contas dos municípios no mês.</t>
  </si>
  <si>
    <t>3º Decendio -
Mês anterior</t>
  </si>
  <si>
    <t>1º Decendio</t>
  </si>
  <si>
    <t>2º Decendio</t>
  </si>
  <si>
    <t>3º Decendio</t>
  </si>
  <si>
    <t>Total do mês</t>
  </si>
  <si>
    <r>
      <t xml:space="preserve">IPI - EXPORTACAO </t>
    </r>
    <r>
      <rPr>
        <sz val="9"/>
        <rFont val="Courier New"/>
        <family val="3"/>
      </rPr>
      <t xml:space="preserve">(O extrato do IPI encontra- se em </t>
    </r>
    <r>
      <rPr>
        <u/>
        <sz val="9"/>
        <color theme="4" tint="-0.249977111117893"/>
        <rFont val="Courier New"/>
        <family val="3"/>
      </rPr>
      <t>https://www42.bb.com.br/portalbb/daf/beneficiario,802,4647,4652,0,1.bbx</t>
    </r>
    <r>
      <rPr>
        <sz val="9"/>
        <rFont val="Courier New"/>
        <family val="3"/>
      </rPr>
      <t>)</t>
    </r>
  </si>
  <si>
    <t>Compensação Financeira - Art.4° da LC n° 194</t>
  </si>
  <si>
    <t>Não</t>
  </si>
  <si>
    <t xml:space="preserve">      894928000 - ESTORNOS RELATIVOS À RESTITUIÇÃO DE RECEITAS - TRANSFERÊNCIAS AOS MUNICÍPIOS - ICMS PARTE LÍQUIDA</t>
  </si>
  <si>
    <t xml:space="preserve">     894990000 - OUTROS CONTROLES DE TRANSFERÊNCIAS AOS MUNICÍPIOS E AO FUNDEB</t>
  </si>
  <si>
    <t xml:space="preserve">      894991000 - REPASSES AO FUNDEB APROPRIADOS PELO RECOLHIMENTO DA RECEITA</t>
  </si>
  <si>
    <t xml:space="preserve">       894991001 - TRANSFERÊNCIAS DEVIDAS PELOS MUNICÍPIOS</t>
  </si>
  <si>
    <t xml:space="preserve">       894991002 - ESTORNOS RELATIVOS À RESTITUIÇÃO DE RECEITAS, SOBRE TRANSFERÊNCIAS DEVIDAS PELOS MUNICÍPIOS</t>
  </si>
  <si>
    <t xml:space="preserve">       894991010 - TRANSFERÊNCIAS DEVIDAS PELO ESTADO</t>
  </si>
  <si>
    <t xml:space="preserve">       894991011 - ESTORNOS RELATIVOS À RESTITUIÇÃO DE RECEITAS, SOBRE TRANSFERÊNCIAS DEVIDAS PELO ESTADO</t>
  </si>
  <si>
    <t>Parte Líquida</t>
  </si>
  <si>
    <t>Repassado</t>
  </si>
  <si>
    <t>A repassar</t>
  </si>
  <si>
    <t xml:space="preserve">4 - O extrato do IPI encontra-se no endereço eletrônico https://www42.bb.com.br/portalbb/daf/beneficiario,802,0,0,2,0,1.bbx?cid=39303. </t>
  </si>
  <si>
    <t>5 - Os valores líquidos se referem aos montantes efetivamente transferidos aos municípios no mês, mediante o regime de caixa.</t>
  </si>
  <si>
    <t>2 - Os valores apresentados nas colunas "Valor LÍQUIDO" correspondem aos valores brutos deduzidos da parcela do FUNDEB;</t>
  </si>
  <si>
    <t>Extrato Banestes Geral</t>
  </si>
  <si>
    <t>TOTAIS</t>
  </si>
  <si>
    <t>TOTAL DOS REPASSES NO PERIODO</t>
  </si>
  <si>
    <t>DEBITO BENEF.</t>
  </si>
  <si>
    <t>CREDITO BENEF.</t>
  </si>
  <si>
    <t>referente ao ultimo decênio do mês passado</t>
  </si>
  <si>
    <t>icms</t>
  </si>
  <si>
    <t>municipio</t>
  </si>
  <si>
    <t>fundeB</t>
  </si>
  <si>
    <t>cms muni</t>
  </si>
  <si>
    <t>fundeb munic</t>
  </si>
  <si>
    <t>Fundo de compensação</t>
  </si>
  <si>
    <t>Repassados (01 a 31/12)</t>
  </si>
  <si>
    <t xml:space="preserve"> Valores SIGEFES
(balancete)</t>
  </si>
  <si>
    <t>PASEP - 1%</t>
  </si>
  <si>
    <t>Dezembro</t>
  </si>
  <si>
    <t>IPI</t>
  </si>
  <si>
    <t>CIDE</t>
  </si>
  <si>
    <t>02 a 04/01/2024</t>
  </si>
  <si>
    <t>LC 194
/2022
+
LC 201
/2023</t>
  </si>
  <si>
    <t>A transferir - 01 a 05</t>
  </si>
  <si>
    <t>Emitido em: 09/02/24 09:48</t>
  </si>
  <si>
    <t>5258 - ICMS - COMÉRCIO</t>
  </si>
  <si>
    <t>COTA PARTE DE CIDE</t>
  </si>
  <si>
    <t>3 - No tocante ao IPI, é necessário abater 20% referente ao FUNDEB para obter o valor líquido e, do valor apurado, abater 1% referente à retenção do PIS/PASEP efetuada pela União.</t>
  </si>
  <si>
    <t>4 - No endereço eletrônico https://www42.bb.com.br/portalbb/daf/beneficiario,802,0,0,2,0,1.bbx?cid=39303 encontram o o extrato do IPI (IPI).</t>
  </si>
  <si>
    <t xml:space="preserve">GERÊNCIA DE CONTABILIDADE GERAL DO ESTADO </t>
  </si>
  <si>
    <t>CÓDIGO DO MUNICÍPIO</t>
  </si>
  <si>
    <t xml:space="preserve">ICMS - 25%                                                  </t>
  </si>
  <si>
    <t>ICMS - Lei 2508 - 25%</t>
  </si>
  <si>
    <t xml:space="preserve">IPI - 25%                                      </t>
  </si>
  <si>
    <t xml:space="preserve">IPVA - 50%                                                                            </t>
  </si>
  <si>
    <t>25% DA COMPENSAÇÃO FINANCEIRA PELO RESULTADO DA EXPLORAÇÃO DE PETRÓLEO (Art.9º da Lei 7.990)</t>
  </si>
  <si>
    <t xml:space="preserve">COTA PARTE DE CIDE                                     </t>
  </si>
  <si>
    <t>3200102</t>
  </si>
  <si>
    <t>3200169</t>
  </si>
  <si>
    <t>3200136</t>
  </si>
  <si>
    <t>3200201</t>
  </si>
  <si>
    <t>3200300</t>
  </si>
  <si>
    <t>3200359</t>
  </si>
  <si>
    <t>3200409</t>
  </si>
  <si>
    <t>3200508</t>
  </si>
  <si>
    <t>3200607</t>
  </si>
  <si>
    <t>3200706</t>
  </si>
  <si>
    <t>3200805</t>
  </si>
  <si>
    <t>3200904</t>
  </si>
  <si>
    <t>3107109</t>
  </si>
  <si>
    <t>3201159</t>
  </si>
  <si>
    <t>3201209</t>
  </si>
  <si>
    <t>3201308</t>
  </si>
  <si>
    <t>3201407</t>
  </si>
  <si>
    <t>3201506</t>
  </si>
  <si>
    <t>3201605</t>
  </si>
  <si>
    <t>3201704</t>
  </si>
  <si>
    <t>3201803</t>
  </si>
  <si>
    <t>3201902</t>
  </si>
  <si>
    <t>3202009</t>
  </si>
  <si>
    <t>3202108</t>
  </si>
  <si>
    <t>3202207</t>
  </si>
  <si>
    <t>3202256</t>
  </si>
  <si>
    <t>3202306</t>
  </si>
  <si>
    <t>3202405</t>
  </si>
  <si>
    <t>3202454</t>
  </si>
  <si>
    <t>3202504</t>
  </si>
  <si>
    <t>3202553</t>
  </si>
  <si>
    <t>3202603</t>
  </si>
  <si>
    <t>3202652</t>
  </si>
  <si>
    <t>3202702</t>
  </si>
  <si>
    <t>3202801</t>
  </si>
  <si>
    <t>3202900</t>
  </si>
  <si>
    <t>3203007</t>
  </si>
  <si>
    <t>3203056</t>
  </si>
  <si>
    <t>3203106</t>
  </si>
  <si>
    <t>3203130</t>
  </si>
  <si>
    <t>3203163</t>
  </si>
  <si>
    <t>3203205</t>
  </si>
  <si>
    <t>3203304</t>
  </si>
  <si>
    <t>3203320</t>
  </si>
  <si>
    <t>3203346</t>
  </si>
  <si>
    <t>3203353</t>
  </si>
  <si>
    <t>3203403</t>
  </si>
  <si>
    <t>3203502</t>
  </si>
  <si>
    <t>3203601</t>
  </si>
  <si>
    <t>3203700</t>
  </si>
  <si>
    <t>3203809</t>
  </si>
  <si>
    <t>3203908</t>
  </si>
  <si>
    <t>3204005</t>
  </si>
  <si>
    <t>3204054</t>
  </si>
  <si>
    <t>3204104</t>
  </si>
  <si>
    <t>3204203</t>
  </si>
  <si>
    <t>3204252</t>
  </si>
  <si>
    <t>1718402</t>
  </si>
  <si>
    <t>3204351</t>
  </si>
  <si>
    <t>3204401</t>
  </si>
  <si>
    <t>3204500</t>
  </si>
  <si>
    <t>3204559</t>
  </si>
  <si>
    <t>3204609</t>
  </si>
  <si>
    <t>3204658</t>
  </si>
  <si>
    <t>3204708</t>
  </si>
  <si>
    <t>3204807</t>
  </si>
  <si>
    <t>3204906</t>
  </si>
  <si>
    <t>3204955</t>
  </si>
  <si>
    <t>3205002</t>
  </si>
  <si>
    <t>3205010</t>
  </si>
  <si>
    <t>3205036</t>
  </si>
  <si>
    <t>3205069</t>
  </si>
  <si>
    <t>2112803</t>
  </si>
  <si>
    <t>3205150</t>
  </si>
  <si>
    <t>3205176</t>
  </si>
  <si>
    <t>3205200</t>
  </si>
  <si>
    <t>3205309</t>
  </si>
  <si>
    <t>1- O Valor Bruto é o montante devido pelo Estado do Espírito Santo aos Municípios.</t>
  </si>
  <si>
    <t>2- Os valores demonstrados são apropriados no mês de acordo com o regime de caixa.</t>
  </si>
  <si>
    <t>3- Para cálculo dos valores devidos a cada Município, deve ser aplicado sobre o valor total o IPM do respectivo Município.</t>
  </si>
  <si>
    <t>4- No tocante ao IPI, para obter o valor líquido, é necessário abater 20% referente ao FUNDEB e, do valor apurado, abater 1% referente à retenção do PIS/PASEP efetuada pela União.</t>
  </si>
  <si>
    <t xml:space="preserve">5- O extrato do IPI encontra-se no endereço eletrônico https://www42.bb.com.br/portalbb/daf/beneficiario,802,0,0,2,0,1.bbx?cid=39303. </t>
  </si>
  <si>
    <t>ÍNDICE 2024 (%)</t>
  </si>
  <si>
    <t>0,732%</t>
  </si>
  <si>
    <t>0,282%</t>
  </si>
  <si>
    <t>0,468%</t>
  </si>
  <si>
    <t>0,458%</t>
  </si>
  <si>
    <t>4,255%</t>
  </si>
  <si>
    <t>0,188%</t>
  </si>
  <si>
    <t>3,787%</t>
  </si>
  <si>
    <t>0,324%</t>
  </si>
  <si>
    <t>0,593%</t>
  </si>
  <si>
    <t>0,884%</t>
  </si>
  <si>
    <t>0,419%</t>
  </si>
  <si>
    <t>0,167%</t>
  </si>
  <si>
    <t>0,416%</t>
  </si>
  <si>
    <t>2,757%</t>
  </si>
  <si>
    <t>7,122%</t>
  </si>
  <si>
    <t>0,829%</t>
  </si>
  <si>
    <t>2,141%</t>
  </si>
  <si>
    <t>0,761%</t>
  </si>
  <si>
    <t>0,405%</t>
  </si>
  <si>
    <t>0,18%</t>
  </si>
  <si>
    <t>1,207%</t>
  </si>
  <si>
    <t>0,258%</t>
  </si>
  <si>
    <t>0,268%</t>
  </si>
  <si>
    <t>0,489%</t>
  </si>
  <si>
    <t>0,337%</t>
  </si>
  <si>
    <t>0,725%</t>
  </si>
  <si>
    <t>0,333%</t>
  </si>
  <si>
    <t>0,227%</t>
  </si>
  <si>
    <t>0,234%</t>
  </si>
  <si>
    <t>0,287%</t>
  </si>
  <si>
    <t>0,288%</t>
  </si>
  <si>
    <t>0,338%</t>
  </si>
  <si>
    <t>3,805%</t>
  </si>
  <si>
    <t>0,353%</t>
  </si>
  <si>
    <t>0,469%</t>
  </si>
  <si>
    <t>1,074%</t>
  </si>
  <si>
    <t>0,201%</t>
  </si>
  <si>
    <t>0,383%</t>
  </si>
  <si>
    <t>0,377%</t>
  </si>
  <si>
    <t>0,616%</t>
  </si>
  <si>
    <t>0,567%</t>
  </si>
  <si>
    <t>0,475%</t>
  </si>
  <si>
    <t>0,528%</t>
  </si>
  <si>
    <t>0,293%</t>
  </si>
  <si>
    <t>0,518%</t>
  </si>
  <si>
    <t>0,267%</t>
  </si>
  <si>
    <t>1,309%</t>
  </si>
  <si>
    <t>0,454%</t>
  </si>
  <si>
    <t>0,316%</t>
  </si>
  <si>
    <t>0,762%</t>
  </si>
  <si>
    <t>0,214%</t>
  </si>
  <si>
    <t>0,391%</t>
  </si>
  <si>
    <t>0,903%</t>
  </si>
  <si>
    <t>0,259%</t>
  </si>
  <si>
    <t>0,525%</t>
  </si>
  <si>
    <t>0,629%</t>
  </si>
  <si>
    <t>0,404%</t>
  </si>
  <si>
    <t>0,802%</t>
  </si>
  <si>
    <t>1,952%</t>
  </si>
  <si>
    <t>0,297%</t>
  </si>
  <si>
    <t>14,689%</t>
  </si>
  <si>
    <t>0,728%</t>
  </si>
  <si>
    <t>0,486%</t>
  </si>
  <si>
    <t>0,619%</t>
  </si>
  <si>
    <t>2,823%</t>
  </si>
  <si>
    <t>0,313%</t>
  </si>
  <si>
    <t>0,643%</t>
  </si>
  <si>
    <t>13,843%</t>
  </si>
  <si>
    <t>ÍNDICE DA CIDE 2024</t>
  </si>
  <si>
    <t>ÍNDICE 2024</t>
  </si>
  <si>
    <t>DISTRIBUIÇÃO DE ICMS, IPI, IPVA e CIDE ÀS PREFEITURAS MUNICIPAIS - FEVEREIRO/2024</t>
  </si>
  <si>
    <t xml:space="preserve"> VALORES TRANSFERIDOS DE 01/02/2024 A 29/02/2024</t>
  </si>
  <si>
    <t>DISTRIBUIÇÃO DE ICMS, IPI, IPVA, ROYALTIES e CIDE ÀS PREFEITURAS MUNICIPAIS NO MÊS DE FEVEREIRO/2024 - (VALOR BRUTO)</t>
  </si>
  <si>
    <t>01 a 05</t>
  </si>
  <si>
    <t>06 a 29</t>
  </si>
  <si>
    <t>A transferir - 01 a 04</t>
  </si>
  <si>
    <t>05 A 29</t>
  </si>
  <si>
    <t>01 a 04</t>
  </si>
  <si>
    <t>09.02.2024</t>
  </si>
  <si>
    <t>R$ 7.754.960,84 C</t>
  </si>
  <si>
    <t>R$ 2.584.986,95 C</t>
  </si>
  <si>
    <t>R$ 62.039,68 D</t>
  </si>
  <si>
    <t>R$ 20.679,89 D</t>
  </si>
  <si>
    <t>R$ 1.550.992,16 D</t>
  </si>
  <si>
    <t>R$ 516.997,39 D</t>
  </si>
  <si>
    <t>R$ 8.189.238,67 C</t>
  </si>
  <si>
    <t>20.02.2024</t>
  </si>
  <si>
    <t>R$ 3.116.736,17 C</t>
  </si>
  <si>
    <t>R$ 1.038.912,06 C</t>
  </si>
  <si>
    <t>R$ 24.933,88 D</t>
  </si>
  <si>
    <t>R$ 8.311,29 D</t>
  </si>
  <si>
    <t>R$ 623.347,23 D</t>
  </si>
  <si>
    <t>R$ 207.782,41 D</t>
  </si>
  <si>
    <t>R$ 3.291.273,42 C</t>
  </si>
  <si>
    <t>29.02.2024</t>
  </si>
  <si>
    <t>R$ 1.846.763,62 C</t>
  </si>
  <si>
    <t>R$ 615.587,87 C</t>
  </si>
  <si>
    <t>R$ 14.774,10 D</t>
  </si>
  <si>
    <t>R$ 4.924,70 D</t>
  </si>
  <si>
    <t>R$ 369.352,72 D</t>
  </si>
  <si>
    <t>R$ 123.117,57 D</t>
  </si>
  <si>
    <t>R$ 1.950.182,40 C</t>
  </si>
  <si>
    <t>R$ 12.718.460,63 C</t>
  </si>
  <si>
    <t>R$ 4.239.486,88 C</t>
  </si>
  <si>
    <t>R$ 101.747,66 D</t>
  </si>
  <si>
    <t>R$ 33.915,88 D</t>
  </si>
  <si>
    <t>R$ 2.543.692,11 D</t>
  </si>
  <si>
    <t>R$ 847.897,37 D</t>
  </si>
  <si>
    <t>R$ 3.527.253,02 D</t>
  </si>
  <si>
    <t>R$ 16.957.947,51 C</t>
  </si>
  <si>
    <t>2/2024</t>
  </si>
  <si>
    <t xml:space="preserve">      894928200 - ESTORNOS RELATIVOS À RESTITUIÇÃO DE RECEITAS - TRANSFERÊNCIAS AOS MUNICÍPIOS - IPVA PARTE LÍQUIDA</t>
  </si>
  <si>
    <t xml:space="preserve">   895000000 - CONTROLES DO RPPS</t>
  </si>
  <si>
    <t xml:space="preserve"> </t>
  </si>
  <si>
    <t>Impresso por Luan Camargo Carneiro em 13/03/24 às 10:32.</t>
  </si>
  <si>
    <t>2096 - IPVA - PRINCIPAL</t>
  </si>
  <si>
    <t>5 - Os valores líquidos demonstrados se referem aos montantes arrecadados em fevereiro, mas efetivamente transferidos em março, em virtude de floating bancário.</t>
  </si>
  <si>
    <t>Anexo I da Ordem de Serviço SUBSET nº 24, de 18 de março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</si>
</sst>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0.000%"/>
    <numFmt numFmtId="166" formatCode="0.000"/>
    <numFmt numFmtId="167" formatCode="mmmm"/>
    <numFmt numFmtId="168" formatCode="mmmm/yy"/>
    <numFmt numFmtId="169" formatCode="_(* #,##0.00_);_(* \(#,##0.00\);_(* &quot;-&quot;??_);_(@_)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sz val="10"/>
      <color rgb="FF333333"/>
      <name val="Courier New"/>
      <family val="3"/>
    </font>
    <font>
      <sz val="10"/>
      <color rgb="FF333333"/>
      <name val="Courier New"/>
      <family val="3"/>
    </font>
    <font>
      <sz val="10"/>
      <color rgb="FF00194B"/>
      <name val="Courier New"/>
      <family val="3"/>
    </font>
    <font>
      <sz val="10"/>
      <color rgb="FF0000FF"/>
      <name val="Courier New"/>
      <family val="3"/>
    </font>
    <font>
      <sz val="10"/>
      <color rgb="FFFF0000"/>
      <name val="Courier New"/>
      <family val="3"/>
    </font>
    <font>
      <sz val="10"/>
      <name val="Courier New"/>
      <family val="3"/>
    </font>
    <font>
      <sz val="10"/>
      <name val="Calibri"/>
      <family val="2"/>
      <scheme val="minor"/>
    </font>
    <font>
      <sz val="10"/>
      <color indexed="72"/>
      <name val="Dialog.plain"/>
    </font>
    <font>
      <b/>
      <sz val="12"/>
      <color indexed="72"/>
      <name val="Dialog.plain"/>
    </font>
    <font>
      <sz val="8"/>
      <color indexed="72"/>
      <name val="Dialog.plain"/>
    </font>
    <font>
      <b/>
      <sz val="8"/>
      <color indexed="72"/>
      <name val="Dialog.bold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72"/>
      <name val="Tahoma"/>
      <family val="2"/>
    </font>
    <font>
      <sz val="11"/>
      <color rgb="FFFF0000"/>
      <name val="Courier New"/>
      <family val="3"/>
    </font>
    <font>
      <sz val="10"/>
      <color rgb="FFC00000"/>
      <name val="Courier New"/>
      <family val="3"/>
    </font>
    <font>
      <b/>
      <sz val="11"/>
      <color indexed="72"/>
      <name val="Calibri"/>
      <family val="2"/>
      <scheme val="minor"/>
    </font>
    <font>
      <b/>
      <sz val="14"/>
      <color indexed="72"/>
      <name val="Tahoma"/>
      <family val="2"/>
    </font>
    <font>
      <b/>
      <sz val="8"/>
      <color indexed="72"/>
      <name val="Tahoma"/>
      <family val="2"/>
    </font>
    <font>
      <b/>
      <sz val="11"/>
      <name val="Calibri"/>
      <family val="2"/>
    </font>
    <font>
      <b/>
      <sz val="6"/>
      <color rgb="FF000000"/>
      <name val="Helvetica-Bold"/>
    </font>
    <font>
      <sz val="11"/>
      <name val="Courier New"/>
      <family val="3"/>
    </font>
    <font>
      <b/>
      <sz val="8"/>
      <name val="Verdana"/>
      <family val="2"/>
    </font>
    <font>
      <sz val="8"/>
      <name val="Verdana"/>
      <family val="2"/>
    </font>
    <font>
      <sz val="8"/>
      <color rgb="FFFF0000"/>
      <name val="Verdana"/>
      <family val="2"/>
    </font>
    <font>
      <sz val="8"/>
      <color theme="1"/>
      <name val="Verdana"/>
      <family val="2"/>
    </font>
    <font>
      <i/>
      <u/>
      <sz val="8"/>
      <name val="Verdana"/>
      <family val="2"/>
    </font>
    <font>
      <sz val="8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11"/>
      <name val="Calibri"/>
      <family val="2"/>
      <scheme val="minor"/>
    </font>
    <font>
      <b/>
      <sz val="10"/>
      <name val="Courier New"/>
      <family val="3"/>
    </font>
    <font>
      <b/>
      <i/>
      <sz val="14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ourier New"/>
      <family val="3"/>
    </font>
    <font>
      <sz val="9"/>
      <name val="Courier New"/>
      <family val="3"/>
    </font>
    <font>
      <u/>
      <sz val="9"/>
      <color theme="4" tint="-0.249977111117893"/>
      <name val="Courier New"/>
      <family val="3"/>
    </font>
    <font>
      <b/>
      <sz val="11"/>
      <color theme="1"/>
      <name val="Calibri Light"/>
      <family val="2"/>
    </font>
    <font>
      <b/>
      <sz val="10"/>
      <color theme="1"/>
      <name val="Bookman Old Style"/>
      <family val="1"/>
    </font>
    <font>
      <sz val="8"/>
      <color rgb="FF00194B"/>
      <name val="Inherit"/>
    </font>
    <font>
      <sz val="8"/>
      <color rgb="FF0000FF"/>
      <name val="Arial"/>
      <family val="2"/>
    </font>
    <font>
      <sz val="12"/>
      <color rgb="FF333333"/>
      <name val="Inherit"/>
    </font>
    <font>
      <sz val="8"/>
      <color rgb="FF333333"/>
      <name val="Inherit"/>
    </font>
    <font>
      <sz val="8"/>
      <color rgb="FFFF0000"/>
      <name val="Arial"/>
      <family val="2"/>
    </font>
    <font>
      <sz val="6"/>
      <color rgb="FF000000"/>
      <name val="Calibri"/>
      <family val="2"/>
      <scheme val="minor"/>
    </font>
    <font>
      <sz val="7"/>
      <color rgb="FF000000"/>
      <name val="NimbusMono-Reg"/>
    </font>
    <font>
      <sz val="10"/>
      <color rgb="FF000000"/>
      <name val="Courier New"/>
      <family val="3"/>
    </font>
    <font>
      <sz val="6"/>
      <color rgb="FF00194B"/>
      <name val="Inherit"/>
    </font>
    <font>
      <sz val="5"/>
      <color rgb="FF0000FF"/>
      <name val="Arial"/>
      <family val="2"/>
    </font>
    <font>
      <sz val="6"/>
      <color rgb="FF333333"/>
      <name val="Inherit"/>
    </font>
    <font>
      <sz val="5"/>
      <color rgb="FFFF0000"/>
      <name val="Arial"/>
      <family val="2"/>
    </font>
    <font>
      <sz val="11"/>
      <color indexed="72"/>
      <name val="Calibri"/>
      <family val="2"/>
      <scheme val="minor"/>
    </font>
    <font>
      <sz val="6"/>
      <color rgb="FF000000"/>
      <name val="Helvetica-Bold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rgb="FFFF0000"/>
      <name val="Dialog.plain"/>
    </font>
    <font>
      <b/>
      <sz val="11"/>
      <color theme="1"/>
      <name val="Verdana"/>
      <family val="2"/>
    </font>
    <font>
      <sz val="14"/>
      <color rgb="FFFF0000"/>
      <name val="Courier New"/>
      <family val="3"/>
    </font>
    <font>
      <sz val="8.5"/>
      <color rgb="FF00194B"/>
      <name val="Times New Roman"/>
      <family val="1"/>
    </font>
    <font>
      <sz val="8.5"/>
      <color theme="1"/>
      <name val="Times New Roman"/>
      <family val="1"/>
    </font>
    <font>
      <sz val="8.5"/>
      <color rgb="FF274B6F"/>
      <name val="Times New Roman"/>
      <family val="1"/>
    </font>
    <font>
      <sz val="10"/>
      <name val="Arial"/>
      <family val="2"/>
    </font>
    <font>
      <sz val="12"/>
      <color rgb="FF00194B"/>
      <name val="Inherit"/>
    </font>
    <font>
      <b/>
      <sz val="12"/>
      <name val="Verdana"/>
      <family val="2"/>
    </font>
    <font>
      <i/>
      <u/>
      <sz val="11"/>
      <name val="Verdana"/>
      <family val="2"/>
    </font>
    <font>
      <sz val="11"/>
      <name val="Verdana"/>
      <family val="2"/>
    </font>
    <font>
      <sz val="9"/>
      <color theme="1"/>
      <name val="Courier New"/>
      <family val="3"/>
    </font>
    <font>
      <b/>
      <i/>
      <sz val="12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Calibri"/>
      <family val="2"/>
      <scheme val="minor"/>
    </font>
    <font>
      <sz val="8"/>
      <color indexed="9"/>
      <name val="Dialog.plain"/>
    </font>
    <font>
      <sz val="6"/>
      <color indexed="72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E9E9E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E9E9E9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E9E9E9"/>
      </top>
      <bottom/>
      <diagonal/>
    </border>
    <border>
      <left style="medium">
        <color indexed="64"/>
      </left>
      <right/>
      <top style="medium">
        <color rgb="FFE9E9E9"/>
      </top>
      <bottom style="medium">
        <color indexed="64"/>
      </bottom>
      <diagonal/>
    </border>
    <border>
      <left/>
      <right/>
      <top style="medium">
        <color rgb="FFE9E9E9"/>
      </top>
      <bottom style="medium">
        <color indexed="64"/>
      </bottom>
      <diagonal/>
    </border>
    <border>
      <left/>
      <right style="medium">
        <color indexed="64"/>
      </right>
      <top style="medium">
        <color rgb="FFE9E9E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E9E9E9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70" fillId="0" borderId="0" applyNumberFormat="0" applyFont="0" applyFill="0" applyBorder="0" applyAlignment="0" applyProtection="0"/>
  </cellStyleXfs>
  <cellXfs count="478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43" fontId="0" fillId="0" borderId="0" xfId="1" applyFont="1"/>
    <xf numFmtId="4" fontId="0" fillId="0" borderId="0" xfId="0" applyNumberFormat="1"/>
    <xf numFmtId="43" fontId="0" fillId="0" borderId="0" xfId="0" applyNumberFormat="1"/>
    <xf numFmtId="0" fontId="0" fillId="0" borderId="0" xfId="0" applyBorder="1"/>
    <xf numFmtId="43" fontId="0" fillId="0" borderId="0" xfId="0" applyNumberFormat="1" applyBorder="1"/>
    <xf numFmtId="43" fontId="0" fillId="0" borderId="0" xfId="1" applyFont="1" applyBorder="1"/>
    <xf numFmtId="43" fontId="2" fillId="0" borderId="0" xfId="1" applyFont="1" applyBorder="1"/>
    <xf numFmtId="43" fontId="2" fillId="4" borderId="3" xfId="1" applyFont="1" applyFill="1" applyBorder="1"/>
    <xf numFmtId="0" fontId="3" fillId="0" borderId="0" xfId="0" applyFont="1"/>
    <xf numFmtId="4" fontId="3" fillId="5" borderId="0" xfId="0" applyNumberFormat="1" applyFont="1" applyFill="1"/>
    <xf numFmtId="0" fontId="3" fillId="5" borderId="0" xfId="0" applyFont="1" applyFill="1"/>
    <xf numFmtId="0" fontId="5" fillId="0" borderId="0" xfId="0" applyFont="1" applyAlignment="1"/>
    <xf numFmtId="0" fontId="6" fillId="6" borderId="4" xfId="0" applyFont="1" applyFill="1" applyBorder="1" applyAlignment="1">
      <alignment horizontal="left" vertical="center"/>
    </xf>
    <xf numFmtId="0" fontId="7" fillId="7" borderId="4" xfId="0" applyFont="1" applyFill="1" applyBorder="1" applyAlignment="1">
      <alignment horizontal="left" vertical="center"/>
    </xf>
    <xf numFmtId="4" fontId="5" fillId="0" borderId="0" xfId="0" applyNumberFormat="1" applyFont="1" applyAlignment="1">
      <alignment horizontal="center"/>
    </xf>
    <xf numFmtId="0" fontId="8" fillId="6" borderId="6" xfId="0" applyFont="1" applyFill="1" applyBorder="1" applyAlignment="1">
      <alignment horizontal="left" vertical="center"/>
    </xf>
    <xf numFmtId="44" fontId="9" fillId="6" borderId="7" xfId="2" applyFont="1" applyFill="1" applyBorder="1" applyAlignment="1">
      <alignment horizontal="center" vertical="center"/>
    </xf>
    <xf numFmtId="0" fontId="5" fillId="0" borderId="0" xfId="0" applyFont="1"/>
    <xf numFmtId="0" fontId="7" fillId="7" borderId="8" xfId="0" applyFont="1" applyFill="1" applyBorder="1" applyAlignment="1">
      <alignment horizontal="left" vertical="center"/>
    </xf>
    <xf numFmtId="0" fontId="5" fillId="10" borderId="0" xfId="0" applyFont="1" applyFill="1" applyBorder="1"/>
    <xf numFmtId="164" fontId="5" fillId="10" borderId="9" xfId="0" applyNumberFormat="1" applyFont="1" applyFill="1" applyBorder="1" applyAlignment="1">
      <alignment horizontal="center"/>
    </xf>
    <xf numFmtId="0" fontId="5" fillId="10" borderId="0" xfId="0" applyFont="1" applyFill="1"/>
    <xf numFmtId="164" fontId="5" fillId="10" borderId="0" xfId="0" applyNumberFormat="1" applyFont="1" applyFill="1"/>
    <xf numFmtId="0" fontId="8" fillId="6" borderId="8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/>
    </xf>
    <xf numFmtId="44" fontId="10" fillId="6" borderId="4" xfId="2" applyFont="1" applyFill="1" applyBorder="1" applyAlignment="1">
      <alignment horizontal="left"/>
    </xf>
    <xf numFmtId="44" fontId="10" fillId="6" borderId="10" xfId="2" applyFont="1" applyFill="1" applyBorder="1" applyAlignment="1">
      <alignment horizontal="center" vertical="center"/>
    </xf>
    <xf numFmtId="0" fontId="5" fillId="3" borderId="0" xfId="0" applyFont="1" applyFill="1"/>
    <xf numFmtId="164" fontId="5" fillId="3" borderId="0" xfId="0" applyNumberFormat="1" applyFont="1" applyFill="1"/>
    <xf numFmtId="0" fontId="5" fillId="3" borderId="0" xfId="0" applyFont="1" applyFill="1" applyBorder="1"/>
    <xf numFmtId="164" fontId="5" fillId="3" borderId="9" xfId="0" applyNumberFormat="1" applyFont="1" applyFill="1" applyBorder="1" applyAlignment="1">
      <alignment horizontal="center"/>
    </xf>
    <xf numFmtId="0" fontId="5" fillId="11" borderId="0" xfId="0" applyFont="1" applyFill="1"/>
    <xf numFmtId="164" fontId="5" fillId="11" borderId="0" xfId="0" applyNumberFormat="1" applyFont="1" applyFill="1"/>
    <xf numFmtId="0" fontId="11" fillId="0" borderId="0" xfId="0" applyFont="1" applyBorder="1" applyAlignment="1"/>
    <xf numFmtId="164" fontId="5" fillId="0" borderId="0" xfId="0" applyNumberFormat="1" applyFont="1"/>
    <xf numFmtId="0" fontId="5" fillId="11" borderId="0" xfId="0" applyFont="1" applyFill="1" applyBorder="1"/>
    <xf numFmtId="164" fontId="5" fillId="11" borderId="9" xfId="0" applyNumberFormat="1" applyFont="1" applyFill="1" applyBorder="1" applyAlignment="1">
      <alignment horizontal="center"/>
    </xf>
    <xf numFmtId="44" fontId="9" fillId="6" borderId="4" xfId="2" applyFont="1" applyFill="1" applyBorder="1" applyAlignment="1">
      <alignment horizontal="left"/>
    </xf>
    <xf numFmtId="44" fontId="9" fillId="6" borderId="10" xfId="2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left" vertical="center"/>
    </xf>
    <xf numFmtId="0" fontId="8" fillId="6" borderId="12" xfId="0" applyFont="1" applyFill="1" applyBorder="1" applyAlignment="1">
      <alignment horizontal="left" vertical="center"/>
    </xf>
    <xf numFmtId="44" fontId="9" fillId="6" borderId="13" xfId="2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left" vertical="center"/>
    </xf>
    <xf numFmtId="44" fontId="7" fillId="7" borderId="0" xfId="2" applyFont="1" applyFill="1" applyBorder="1" applyAlignment="1">
      <alignment horizontal="left"/>
    </xf>
    <xf numFmtId="0" fontId="7" fillId="7" borderId="0" xfId="0" applyFont="1" applyFill="1" applyBorder="1" applyAlignment="1">
      <alignment horizontal="right" vertical="center"/>
    </xf>
    <xf numFmtId="44" fontId="9" fillId="6" borderId="4" xfId="2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right" vertical="center"/>
    </xf>
    <xf numFmtId="0" fontId="9" fillId="6" borderId="4" xfId="0" applyFont="1" applyFill="1" applyBorder="1" applyAlignment="1">
      <alignment horizontal="right" vertical="center"/>
    </xf>
    <xf numFmtId="44" fontId="9" fillId="7" borderId="4" xfId="2" applyFont="1" applyFill="1" applyBorder="1" applyAlignment="1">
      <alignment horizontal="left"/>
    </xf>
    <xf numFmtId="0" fontId="9" fillId="7" borderId="4" xfId="0" applyFont="1" applyFill="1" applyBorder="1" applyAlignment="1">
      <alignment horizontal="right" vertical="center"/>
    </xf>
    <xf numFmtId="0" fontId="10" fillId="6" borderId="4" xfId="0" applyFont="1" applyFill="1" applyBorder="1" applyAlignment="1">
      <alignment horizontal="right" vertical="center"/>
    </xf>
    <xf numFmtId="0" fontId="10" fillId="7" borderId="4" xfId="0" applyFont="1" applyFill="1" applyBorder="1" applyAlignment="1">
      <alignment horizontal="right" vertical="center"/>
    </xf>
    <xf numFmtId="0" fontId="8" fillId="6" borderId="4" xfId="0" applyFont="1" applyFill="1" applyBorder="1" applyAlignment="1">
      <alignment horizontal="right" vertical="center"/>
    </xf>
    <xf numFmtId="44" fontId="5" fillId="0" borderId="0" xfId="2" applyFont="1" applyAlignment="1">
      <alignment horizontal="left"/>
    </xf>
    <xf numFmtId="43" fontId="5" fillId="0" borderId="0" xfId="1" applyFont="1"/>
    <xf numFmtId="0" fontId="5" fillId="12" borderId="0" xfId="0" applyFont="1" applyFill="1" applyAlignment="1">
      <alignment horizontal="center"/>
    </xf>
    <xf numFmtId="0" fontId="0" fillId="0" borderId="0" xfId="0" applyAlignment="1">
      <alignment vertical="center"/>
    </xf>
    <xf numFmtId="4" fontId="3" fillId="0" borderId="0" xfId="0" applyNumberFormat="1" applyFont="1"/>
    <xf numFmtId="165" fontId="5" fillId="0" borderId="0" xfId="3" applyNumberFormat="1" applyFont="1" applyAlignment="1">
      <alignment horizontal="center"/>
    </xf>
    <xf numFmtId="44" fontId="5" fillId="0" borderId="0" xfId="0" applyNumberFormat="1" applyFont="1"/>
    <xf numFmtId="0" fontId="16" fillId="14" borderId="28" xfId="0" applyNumberFormat="1" applyFont="1" applyFill="1" applyBorder="1" applyAlignment="1">
      <alignment horizontal="left" vertical="top" wrapText="1"/>
    </xf>
    <xf numFmtId="0" fontId="16" fillId="14" borderId="24" xfId="0" applyNumberFormat="1" applyFont="1" applyFill="1" applyBorder="1" applyAlignment="1">
      <alignment horizontal="left" vertical="top" wrapText="1"/>
    </xf>
    <xf numFmtId="0" fontId="16" fillId="14" borderId="0" xfId="0" applyNumberFormat="1" applyFont="1" applyFill="1" applyBorder="1" applyAlignment="1">
      <alignment horizontal="left" vertical="top" wrapText="1"/>
    </xf>
    <xf numFmtId="0" fontId="16" fillId="16" borderId="0" xfId="0" applyNumberFormat="1" applyFont="1" applyFill="1" applyBorder="1" applyAlignment="1">
      <alignment horizontal="left" vertical="top" wrapText="1"/>
    </xf>
    <xf numFmtId="0" fontId="15" fillId="14" borderId="0" xfId="0" applyNumberFormat="1" applyFont="1" applyFill="1" applyBorder="1" applyAlignment="1">
      <alignment horizontal="left" vertical="top" wrapText="1"/>
    </xf>
    <xf numFmtId="0" fontId="15" fillId="16" borderId="0" xfId="0" applyNumberFormat="1" applyFont="1" applyFill="1" applyBorder="1" applyAlignment="1">
      <alignment horizontal="left" vertical="top" wrapText="1"/>
    </xf>
    <xf numFmtId="43" fontId="17" fillId="0" borderId="0" xfId="0" applyNumberFormat="1" applyFont="1"/>
    <xf numFmtId="4" fontId="16" fillId="14" borderId="0" xfId="0" applyNumberFormat="1" applyFont="1" applyFill="1" applyBorder="1" applyAlignment="1">
      <alignment horizontal="left" vertical="top" wrapText="1"/>
    </xf>
    <xf numFmtId="4" fontId="16" fillId="16" borderId="0" xfId="0" applyNumberFormat="1" applyFont="1" applyFill="1" applyBorder="1" applyAlignment="1">
      <alignment horizontal="left" vertical="top" wrapText="1"/>
    </xf>
    <xf numFmtId="4" fontId="15" fillId="14" borderId="0" xfId="0" applyNumberFormat="1" applyFont="1" applyFill="1" applyBorder="1" applyAlignment="1">
      <alignment horizontal="left" vertical="top" wrapText="1"/>
    </xf>
    <xf numFmtId="4" fontId="15" fillId="16" borderId="0" xfId="0" applyNumberFormat="1" applyFont="1" applyFill="1" applyBorder="1" applyAlignment="1">
      <alignment horizontal="left" vertical="top" wrapText="1"/>
    </xf>
    <xf numFmtId="0" fontId="18" fillId="0" borderId="0" xfId="4" applyAlignment="1" applyProtection="1"/>
    <xf numFmtId="8" fontId="9" fillId="6" borderId="4" xfId="2" applyNumberFormat="1" applyFont="1" applyFill="1" applyBorder="1" applyAlignment="1">
      <alignment horizontal="left"/>
    </xf>
    <xf numFmtId="8" fontId="5" fillId="10" borderId="0" xfId="2" applyNumberFormat="1" applyFont="1" applyFill="1" applyBorder="1" applyAlignment="1">
      <alignment horizontal="left"/>
    </xf>
    <xf numFmtId="8" fontId="10" fillId="6" borderId="4" xfId="2" applyNumberFormat="1" applyFont="1" applyFill="1" applyBorder="1" applyAlignment="1">
      <alignment horizontal="left"/>
    </xf>
    <xf numFmtId="8" fontId="5" fillId="3" borderId="0" xfId="2" applyNumberFormat="1" applyFont="1" applyFill="1" applyBorder="1" applyAlignment="1">
      <alignment horizontal="left"/>
    </xf>
    <xf numFmtId="8" fontId="5" fillId="11" borderId="0" xfId="2" applyNumberFormat="1" applyFont="1" applyFill="1" applyBorder="1" applyAlignment="1">
      <alignment horizontal="left"/>
    </xf>
    <xf numFmtId="8" fontId="9" fillId="6" borderId="12" xfId="2" applyNumberFormat="1" applyFont="1" applyFill="1" applyBorder="1" applyAlignment="1">
      <alignment horizontal="left"/>
    </xf>
    <xf numFmtId="43" fontId="5" fillId="2" borderId="0" xfId="1" applyFont="1" applyFill="1"/>
    <xf numFmtId="0" fontId="0" fillId="2" borderId="0" xfId="0" applyFill="1"/>
    <xf numFmtId="164" fontId="5" fillId="9" borderId="32" xfId="0" applyNumberFormat="1" applyFont="1" applyFill="1" applyBorder="1"/>
    <xf numFmtId="0" fontId="20" fillId="0" borderId="0" xfId="0" applyFont="1"/>
    <xf numFmtId="0" fontId="3" fillId="17" borderId="3" xfId="0" applyFont="1" applyFill="1" applyBorder="1"/>
    <xf numFmtId="4" fontId="20" fillId="5" borderId="0" xfId="0" applyNumberFormat="1" applyFont="1" applyFill="1"/>
    <xf numFmtId="0" fontId="0" fillId="0" borderId="0" xfId="0" applyNumberFormat="1" applyFont="1" applyFill="1" applyBorder="1" applyAlignment="1"/>
    <xf numFmtId="4" fontId="3" fillId="17" borderId="3" xfId="0" applyNumberFormat="1" applyFont="1" applyFill="1" applyBorder="1"/>
    <xf numFmtId="14" fontId="2" fillId="13" borderId="1" xfId="0" applyNumberFormat="1" applyFont="1" applyFill="1" applyBorder="1" applyAlignment="1">
      <alignment horizontal="left"/>
    </xf>
    <xf numFmtId="0" fontId="0" fillId="13" borderId="0" xfId="0" applyFill="1"/>
    <xf numFmtId="0" fontId="2" fillId="13" borderId="2" xfId="0" applyFont="1" applyFill="1" applyBorder="1"/>
    <xf numFmtId="0" fontId="2" fillId="13" borderId="2" xfId="0" applyFont="1" applyFill="1" applyBorder="1" applyAlignment="1">
      <alignment horizontal="center"/>
    </xf>
    <xf numFmtId="164" fontId="4" fillId="10" borderId="3" xfId="0" applyNumberFormat="1" applyFont="1" applyFill="1" applyBorder="1"/>
    <xf numFmtId="8" fontId="7" fillId="7" borderId="4" xfId="2" applyNumberFormat="1" applyFont="1" applyFill="1" applyBorder="1" applyAlignment="1">
      <alignment horizontal="left"/>
    </xf>
    <xf numFmtId="164" fontId="5" fillId="0" borderId="0" xfId="0" applyNumberFormat="1" applyFont="1" applyAlignment="1">
      <alignment vertical="center"/>
    </xf>
    <xf numFmtId="164" fontId="17" fillId="0" borderId="0" xfId="0" applyNumberFormat="1" applyFont="1"/>
    <xf numFmtId="0" fontId="3" fillId="19" borderId="0" xfId="0" applyFont="1" applyFill="1"/>
    <xf numFmtId="4" fontId="2" fillId="0" borderId="3" xfId="0" applyNumberFormat="1" applyFont="1" applyFill="1" applyBorder="1" applyAlignment="1"/>
    <xf numFmtId="0" fontId="0" fillId="17" borderId="0" xfId="0" applyFill="1"/>
    <xf numFmtId="0" fontId="5" fillId="17" borderId="0" xfId="0" applyFont="1" applyFill="1"/>
    <xf numFmtId="43" fontId="5" fillId="17" borderId="0" xfId="1" applyFont="1" applyFill="1"/>
    <xf numFmtId="0" fontId="10" fillId="0" borderId="0" xfId="0" applyFont="1"/>
    <xf numFmtId="43" fontId="10" fillId="0" borderId="0" xfId="0" applyNumberFormat="1" applyFont="1"/>
    <xf numFmtId="14" fontId="2" fillId="0" borderId="3" xfId="0" applyNumberFormat="1" applyFont="1" applyFill="1" applyBorder="1" applyAlignment="1"/>
    <xf numFmtId="0" fontId="23" fillId="14" borderId="3" xfId="0" applyNumberFormat="1" applyFont="1" applyFill="1" applyBorder="1" applyAlignment="1">
      <alignment vertical="top" wrapText="1"/>
    </xf>
    <xf numFmtId="0" fontId="19" fillId="14" borderId="0" xfId="0" applyNumberFormat="1" applyFont="1" applyFill="1" applyBorder="1" applyAlignment="1">
      <alignment horizontal="right" vertical="top" wrapText="1"/>
    </xf>
    <xf numFmtId="43" fontId="25" fillId="14" borderId="29" xfId="1" applyFont="1" applyFill="1" applyBorder="1" applyAlignment="1">
      <alignment horizontal="right" vertical="top" wrapText="1"/>
    </xf>
    <xf numFmtId="0" fontId="24" fillId="14" borderId="0" xfId="0" applyNumberFormat="1" applyFont="1" applyFill="1" applyBorder="1" applyAlignment="1">
      <alignment horizontal="right" vertical="top" wrapText="1"/>
    </xf>
    <xf numFmtId="0" fontId="24" fillId="14" borderId="35" xfId="0" applyNumberFormat="1" applyFont="1" applyFill="1" applyBorder="1" applyAlignment="1">
      <alignment horizontal="left" vertical="top" wrapText="1"/>
    </xf>
    <xf numFmtId="4" fontId="26" fillId="0" borderId="0" xfId="0" applyNumberFormat="1" applyFont="1"/>
    <xf numFmtId="43" fontId="17" fillId="17" borderId="0" xfId="1" applyFont="1" applyFill="1" applyBorder="1"/>
    <xf numFmtId="0" fontId="27" fillId="17" borderId="0" xfId="0" applyFont="1" applyFill="1"/>
    <xf numFmtId="4" fontId="11" fillId="17" borderId="0" xfId="3" applyNumberFormat="1" applyFont="1" applyFill="1" applyAlignment="1">
      <alignment horizontal="center"/>
    </xf>
    <xf numFmtId="4" fontId="11" fillId="17" borderId="0" xfId="0" applyNumberFormat="1" applyFont="1" applyFill="1"/>
    <xf numFmtId="0" fontId="29" fillId="2" borderId="0" xfId="0" applyFont="1" applyFill="1" applyAlignment="1">
      <alignment vertical="center"/>
    </xf>
    <xf numFmtId="4" fontId="30" fillId="2" borderId="0" xfId="0" applyNumberFormat="1" applyFont="1" applyFill="1" applyAlignment="1">
      <alignment vertical="center"/>
    </xf>
    <xf numFmtId="0" fontId="28" fillId="2" borderId="0" xfId="0" applyFont="1" applyFill="1" applyBorder="1" applyAlignment="1">
      <alignment horizontal="center" vertical="center"/>
    </xf>
    <xf numFmtId="43" fontId="30" fillId="2" borderId="0" xfId="0" applyNumberFormat="1" applyFont="1" applyFill="1" applyAlignment="1">
      <alignment vertical="center"/>
    </xf>
    <xf numFmtId="4" fontId="29" fillId="2" borderId="0" xfId="0" applyNumberFormat="1" applyFont="1" applyFill="1" applyAlignment="1">
      <alignment vertical="center"/>
    </xf>
    <xf numFmtId="0" fontId="32" fillId="2" borderId="0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 wrapText="1"/>
    </xf>
    <xf numFmtId="0" fontId="28" fillId="13" borderId="17" xfId="0" applyFont="1" applyFill="1" applyBorder="1" applyAlignment="1">
      <alignment horizontal="center" vertical="center" wrapText="1"/>
    </xf>
    <xf numFmtId="0" fontId="28" fillId="13" borderId="14" xfId="0" applyFont="1" applyFill="1" applyBorder="1" applyAlignment="1">
      <alignment horizontal="center" vertical="center" wrapText="1"/>
    </xf>
    <xf numFmtId="0" fontId="28" fillId="13" borderId="17" xfId="0" applyFont="1" applyFill="1" applyBorder="1" applyAlignment="1">
      <alignment horizontal="left" vertical="center"/>
    </xf>
    <xf numFmtId="0" fontId="33" fillId="0" borderId="0" xfId="0" applyFont="1"/>
    <xf numFmtId="0" fontId="29" fillId="0" borderId="0" xfId="0" applyFont="1" applyFill="1" applyAlignment="1">
      <alignment horizontal="center" vertical="center"/>
    </xf>
    <xf numFmtId="0" fontId="33" fillId="0" borderId="0" xfId="0" applyFont="1" applyFill="1"/>
    <xf numFmtId="0" fontId="36" fillId="0" borderId="0" xfId="0" applyFont="1" applyFill="1" applyBorder="1" applyAlignment="1">
      <alignment horizontal="center" vertical="center"/>
    </xf>
    <xf numFmtId="4" fontId="35" fillId="2" borderId="0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4" fontId="2" fillId="20" borderId="3" xfId="0" applyNumberFormat="1" applyFont="1" applyFill="1" applyBorder="1"/>
    <xf numFmtId="4" fontId="5" fillId="17" borderId="0" xfId="0" applyNumberFormat="1" applyFon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5" fillId="17" borderId="0" xfId="0" applyFont="1" applyFill="1" applyAlignment="1">
      <alignment horizontal="left" vertical="center"/>
    </xf>
    <xf numFmtId="0" fontId="35" fillId="2" borderId="0" xfId="0" applyFont="1" applyFill="1" applyBorder="1" applyAlignment="1"/>
    <xf numFmtId="43" fontId="36" fillId="2" borderId="21" xfId="1" applyFont="1" applyFill="1" applyBorder="1" applyAlignment="1">
      <alignment vertical="center"/>
    </xf>
    <xf numFmtId="43" fontId="36" fillId="2" borderId="14" xfId="1" applyFont="1" applyFill="1" applyBorder="1" applyAlignment="1">
      <alignment vertical="center"/>
    </xf>
    <xf numFmtId="4" fontId="36" fillId="2" borderId="20" xfId="0" applyNumberFormat="1" applyFont="1" applyFill="1" applyBorder="1" applyAlignment="1">
      <alignment vertical="center"/>
    </xf>
    <xf numFmtId="4" fontId="36" fillId="2" borderId="21" xfId="0" applyNumberFormat="1" applyFont="1" applyFill="1" applyBorder="1" applyAlignment="1">
      <alignment vertical="center"/>
    </xf>
    <xf numFmtId="43" fontId="36" fillId="2" borderId="22" xfId="1" applyFont="1" applyFill="1" applyBorder="1" applyAlignment="1">
      <alignment vertical="center"/>
    </xf>
    <xf numFmtId="43" fontId="36" fillId="2" borderId="15" xfId="1" applyFont="1" applyFill="1" applyBorder="1" applyAlignment="1">
      <alignment vertical="center"/>
    </xf>
    <xf numFmtId="4" fontId="36" fillId="2" borderId="33" xfId="0" applyNumberFormat="1" applyFont="1" applyFill="1" applyBorder="1" applyAlignment="1">
      <alignment vertical="center"/>
    </xf>
    <xf numFmtId="4" fontId="36" fillId="2" borderId="22" xfId="0" applyNumberFormat="1" applyFont="1" applyFill="1" applyBorder="1" applyAlignment="1">
      <alignment vertical="center"/>
    </xf>
    <xf numFmtId="166" fontId="36" fillId="0" borderId="22" xfId="1" applyNumberFormat="1" applyFont="1" applyFill="1" applyBorder="1" applyAlignment="1">
      <alignment horizontal="center" vertical="center"/>
    </xf>
    <xf numFmtId="43" fontId="36" fillId="2" borderId="23" xfId="1" applyFont="1" applyFill="1" applyBorder="1" applyAlignment="1">
      <alignment vertical="center"/>
    </xf>
    <xf numFmtId="43" fontId="36" fillId="2" borderId="16" xfId="1" applyFont="1" applyFill="1" applyBorder="1" applyAlignment="1">
      <alignment vertical="center"/>
    </xf>
    <xf numFmtId="4" fontId="36" fillId="2" borderId="34" xfId="0" applyNumberFormat="1" applyFont="1" applyFill="1" applyBorder="1" applyAlignment="1">
      <alignment vertical="center"/>
    </xf>
    <xf numFmtId="4" fontId="36" fillId="2" borderId="23" xfId="0" applyNumberFormat="1" applyFont="1" applyFill="1" applyBorder="1" applyAlignment="1">
      <alignment vertical="center"/>
    </xf>
    <xf numFmtId="0" fontId="36" fillId="2" borderId="22" xfId="0" applyFont="1" applyFill="1" applyBorder="1" applyAlignment="1">
      <alignment vertical="center"/>
    </xf>
    <xf numFmtId="0" fontId="36" fillId="2" borderId="23" xfId="0" applyFont="1" applyFill="1" applyBorder="1" applyAlignment="1">
      <alignment vertical="center"/>
    </xf>
    <xf numFmtId="9" fontId="35" fillId="13" borderId="17" xfId="3" applyNumberFormat="1" applyFont="1" applyFill="1" applyBorder="1" applyAlignment="1">
      <alignment horizontal="center" vertical="center"/>
    </xf>
    <xf numFmtId="43" fontId="36" fillId="13" borderId="16" xfId="1" applyFont="1" applyFill="1" applyBorder="1" applyAlignment="1">
      <alignment vertical="center"/>
    </xf>
    <xf numFmtId="4" fontId="36" fillId="13" borderId="17" xfId="0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horizontal="left" vertical="top" indent="35"/>
    </xf>
    <xf numFmtId="43" fontId="36" fillId="2" borderId="1" xfId="1" applyFont="1" applyFill="1" applyBorder="1" applyAlignment="1">
      <alignment vertical="center"/>
    </xf>
    <xf numFmtId="43" fontId="36" fillId="2" borderId="0" xfId="1" applyFont="1" applyFill="1" applyBorder="1" applyAlignment="1">
      <alignment vertical="center"/>
    </xf>
    <xf numFmtId="43" fontId="36" fillId="2" borderId="2" xfId="1" applyFont="1" applyFill="1" applyBorder="1" applyAlignment="1">
      <alignment vertical="center"/>
    </xf>
    <xf numFmtId="0" fontId="35" fillId="13" borderId="17" xfId="0" applyFont="1" applyFill="1" applyBorder="1" applyAlignment="1">
      <alignment horizontal="left" vertical="center"/>
    </xf>
    <xf numFmtId="43" fontId="11" fillId="0" borderId="0" xfId="1" applyFont="1"/>
    <xf numFmtId="164" fontId="11" fillId="2" borderId="0" xfId="0" applyNumberFormat="1" applyFont="1" applyFill="1"/>
    <xf numFmtId="165" fontId="37" fillId="0" borderId="0" xfId="3" applyNumberFormat="1" applyFont="1"/>
    <xf numFmtId="0" fontId="37" fillId="0" borderId="0" xfId="0" applyFont="1"/>
    <xf numFmtId="165" fontId="11" fillId="17" borderId="0" xfId="3" applyNumberFormat="1" applyFont="1" applyFill="1"/>
    <xf numFmtId="165" fontId="11" fillId="0" borderId="0" xfId="3" applyNumberFormat="1" applyFont="1"/>
    <xf numFmtId="4" fontId="11" fillId="17" borderId="0" xfId="3" applyNumberFormat="1" applyFont="1" applyFill="1"/>
    <xf numFmtId="0" fontId="0" fillId="0" borderId="0" xfId="0" applyFill="1" applyBorder="1" applyAlignment="1">
      <alignment horizontal="left" vertical="top"/>
    </xf>
    <xf numFmtId="0" fontId="0" fillId="0" borderId="36" xfId="0" applyFill="1" applyBorder="1" applyAlignment="1">
      <alignment horizontal="left" vertical="top"/>
    </xf>
    <xf numFmtId="44" fontId="0" fillId="0" borderId="0" xfId="2" applyFon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right" vertical="center"/>
    </xf>
    <xf numFmtId="0" fontId="29" fillId="2" borderId="0" xfId="0" applyFont="1" applyFill="1" applyAlignment="1">
      <alignment horizontal="right" vertical="center"/>
    </xf>
    <xf numFmtId="43" fontId="36" fillId="2" borderId="14" xfId="1" applyFont="1" applyFill="1" applyBorder="1" applyAlignment="1">
      <alignment horizontal="distributed" vertical="center" indent="1"/>
    </xf>
    <xf numFmtId="43" fontId="36" fillId="2" borderId="15" xfId="1" applyFont="1" applyFill="1" applyBorder="1" applyAlignment="1">
      <alignment horizontal="distributed" vertical="center" indent="1"/>
    </xf>
    <xf numFmtId="0" fontId="30" fillId="2" borderId="0" xfId="0" applyFont="1" applyFill="1" applyAlignment="1">
      <alignment vertical="center"/>
    </xf>
    <xf numFmtId="0" fontId="19" fillId="14" borderId="0" xfId="0" applyNumberFormat="1" applyFont="1" applyFill="1" applyBorder="1" applyAlignment="1">
      <alignment horizontal="left" vertical="top" wrapText="1"/>
    </xf>
    <xf numFmtId="0" fontId="27" fillId="17" borderId="3" xfId="0" applyFont="1" applyFill="1" applyBorder="1"/>
    <xf numFmtId="4" fontId="11" fillId="17" borderId="3" xfId="0" applyNumberFormat="1" applyFont="1" applyFill="1" applyBorder="1"/>
    <xf numFmtId="0" fontId="17" fillId="0" borderId="0" xfId="0" applyFont="1"/>
    <xf numFmtId="0" fontId="28" fillId="13" borderId="14" xfId="0" applyFont="1" applyFill="1" applyBorder="1" applyAlignment="1">
      <alignment horizontal="center" vertical="center" wrapText="1"/>
    </xf>
    <xf numFmtId="0" fontId="28" fillId="13" borderId="17" xfId="0" applyFont="1" applyFill="1" applyBorder="1" applyAlignment="1">
      <alignment horizontal="center" vertical="center" wrapText="1"/>
    </xf>
    <xf numFmtId="43" fontId="0" fillId="13" borderId="0" xfId="0" applyNumberFormat="1" applyFill="1"/>
    <xf numFmtId="4" fontId="0" fillId="13" borderId="0" xfId="0" applyNumberFormat="1" applyFill="1"/>
    <xf numFmtId="4" fontId="26" fillId="13" borderId="0" xfId="0" applyNumberFormat="1" applyFont="1" applyFill="1"/>
    <xf numFmtId="43" fontId="2" fillId="9" borderId="3" xfId="1" applyFont="1" applyFill="1" applyBorder="1"/>
    <xf numFmtId="43" fontId="3" fillId="13" borderId="0" xfId="0" applyNumberFormat="1" applyFont="1" applyFill="1"/>
    <xf numFmtId="0" fontId="39" fillId="0" borderId="17" xfId="0" applyFont="1" applyFill="1" applyBorder="1" applyAlignment="1">
      <alignment horizontal="center" vertical="center"/>
    </xf>
    <xf numFmtId="44" fontId="34" fillId="0" borderId="16" xfId="2" applyFont="1" applyFill="1" applyBorder="1" applyAlignment="1">
      <alignment horizontal="left" vertical="center"/>
    </xf>
    <xf numFmtId="44" fontId="34" fillId="0" borderId="16" xfId="2" applyFont="1" applyFill="1" applyBorder="1" applyAlignment="1">
      <alignment horizontal="center" vertical="center"/>
    </xf>
    <xf numFmtId="44" fontId="34" fillId="0" borderId="23" xfId="2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left" vertical="top"/>
    </xf>
    <xf numFmtId="44" fontId="0" fillId="0" borderId="3" xfId="2" applyFont="1" applyFill="1" applyBorder="1" applyAlignment="1">
      <alignment horizontal="left" vertical="top"/>
    </xf>
    <xf numFmtId="0" fontId="8" fillId="6" borderId="10" xfId="0" applyFont="1" applyFill="1" applyBorder="1" applyAlignment="1">
      <alignment horizontal="left" vertical="center"/>
    </xf>
    <xf numFmtId="0" fontId="7" fillId="7" borderId="36" xfId="0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/>
    <xf numFmtId="0" fontId="46" fillId="0" borderId="0" xfId="0" applyFont="1" applyAlignment="1">
      <alignment vertical="center"/>
    </xf>
    <xf numFmtId="0" fontId="0" fillId="6" borderId="0" xfId="0" applyFill="1"/>
    <xf numFmtId="0" fontId="50" fillId="7" borderId="4" xfId="0" applyFont="1" applyFill="1" applyBorder="1" applyAlignment="1">
      <alignment horizontal="left" vertical="center" wrapText="1"/>
    </xf>
    <xf numFmtId="0" fontId="51" fillId="7" borderId="4" xfId="0" applyFont="1" applyFill="1" applyBorder="1" applyAlignment="1">
      <alignment horizontal="left" vertical="center" wrapText="1"/>
    </xf>
    <xf numFmtId="0" fontId="48" fillId="6" borderId="4" xfId="0" applyFont="1" applyFill="1" applyBorder="1" applyAlignment="1">
      <alignment horizontal="left" vertical="center" wrapText="1"/>
    </xf>
    <xf numFmtId="8" fontId="49" fillId="6" borderId="4" xfId="0" applyNumberFormat="1" applyFont="1" applyFill="1" applyBorder="1" applyAlignment="1">
      <alignment horizontal="right" vertical="center" wrapText="1"/>
    </xf>
    <xf numFmtId="8" fontId="49" fillId="7" borderId="4" xfId="0" applyNumberFormat="1" applyFont="1" applyFill="1" applyBorder="1" applyAlignment="1">
      <alignment horizontal="right" vertical="center" wrapText="1"/>
    </xf>
    <xf numFmtId="8" fontId="52" fillId="6" borderId="4" xfId="0" applyNumberFormat="1" applyFont="1" applyFill="1" applyBorder="1" applyAlignment="1">
      <alignment horizontal="right" vertical="center" wrapText="1"/>
    </xf>
    <xf numFmtId="43" fontId="36" fillId="13" borderId="17" xfId="1" applyFont="1" applyFill="1" applyBorder="1" applyAlignment="1">
      <alignment horizontal="distributed" vertical="center" indent="1"/>
    </xf>
    <xf numFmtId="0" fontId="31" fillId="0" borderId="1" xfId="0" applyFont="1" applyBorder="1" applyAlignment="1">
      <alignment vertical="center"/>
    </xf>
    <xf numFmtId="43" fontId="36" fillId="13" borderId="16" xfId="1" applyFont="1" applyFill="1" applyBorder="1" applyAlignment="1">
      <alignment horizontal="distributed" vertical="center"/>
    </xf>
    <xf numFmtId="43" fontId="36" fillId="2" borderId="21" xfId="1" applyFont="1" applyFill="1" applyBorder="1" applyAlignment="1">
      <alignment horizontal="distributed" vertical="center"/>
    </xf>
    <xf numFmtId="43" fontId="36" fillId="2" borderId="14" xfId="1" applyFont="1" applyFill="1" applyBorder="1" applyAlignment="1">
      <alignment horizontal="distributed" vertical="center"/>
    </xf>
    <xf numFmtId="4" fontId="36" fillId="2" borderId="20" xfId="0" applyNumberFormat="1" applyFont="1" applyFill="1" applyBorder="1" applyAlignment="1">
      <alignment horizontal="distributed" vertical="center"/>
    </xf>
    <xf numFmtId="4" fontId="36" fillId="2" borderId="21" xfId="0" applyNumberFormat="1" applyFont="1" applyFill="1" applyBorder="1" applyAlignment="1">
      <alignment horizontal="distributed" vertical="center"/>
    </xf>
    <xf numFmtId="43" fontId="36" fillId="2" borderId="22" xfId="1" applyFont="1" applyFill="1" applyBorder="1" applyAlignment="1">
      <alignment horizontal="distributed" vertical="center"/>
    </xf>
    <xf numFmtId="43" fontId="36" fillId="2" borderId="15" xfId="1" applyFont="1" applyFill="1" applyBorder="1" applyAlignment="1">
      <alignment horizontal="distributed" vertical="center"/>
    </xf>
    <xf numFmtId="4" fontId="36" fillId="2" borderId="33" xfId="0" applyNumberFormat="1" applyFont="1" applyFill="1" applyBorder="1" applyAlignment="1">
      <alignment horizontal="distributed" vertical="center"/>
    </xf>
    <xf numFmtId="4" fontId="36" fillId="2" borderId="22" xfId="0" applyNumberFormat="1" applyFont="1" applyFill="1" applyBorder="1" applyAlignment="1">
      <alignment horizontal="distributed" vertical="center"/>
    </xf>
    <xf numFmtId="43" fontId="36" fillId="2" borderId="23" xfId="1" applyFont="1" applyFill="1" applyBorder="1" applyAlignment="1">
      <alignment horizontal="distributed" vertical="center"/>
    </xf>
    <xf numFmtId="43" fontId="36" fillId="2" borderId="16" xfId="1" applyFont="1" applyFill="1" applyBorder="1" applyAlignment="1">
      <alignment horizontal="distributed" vertical="center"/>
    </xf>
    <xf numFmtId="4" fontId="36" fillId="2" borderId="34" xfId="0" applyNumberFormat="1" applyFont="1" applyFill="1" applyBorder="1" applyAlignment="1">
      <alignment horizontal="distributed" vertical="center"/>
    </xf>
    <xf numFmtId="4" fontId="36" fillId="2" borderId="23" xfId="0" applyNumberFormat="1" applyFont="1" applyFill="1" applyBorder="1" applyAlignment="1">
      <alignment horizontal="distributed" vertical="center"/>
    </xf>
    <xf numFmtId="0" fontId="52" fillId="0" borderId="0" xfId="0" applyFont="1"/>
    <xf numFmtId="0" fontId="0" fillId="0" borderId="0" xfId="0" quotePrefix="1"/>
    <xf numFmtId="43" fontId="3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0" fillId="13" borderId="37" xfId="0" applyFill="1" applyBorder="1"/>
    <xf numFmtId="0" fontId="2" fillId="18" borderId="40" xfId="0" applyFont="1" applyFill="1" applyBorder="1" applyAlignment="1">
      <alignment horizontal="center" vertical="center"/>
    </xf>
    <xf numFmtId="0" fontId="2" fillId="18" borderId="40" xfId="0" applyFont="1" applyFill="1" applyBorder="1" applyAlignment="1">
      <alignment horizontal="center" vertical="center" wrapText="1"/>
    </xf>
    <xf numFmtId="0" fontId="2" fillId="18" borderId="41" xfId="0" applyFont="1" applyFill="1" applyBorder="1" applyAlignment="1">
      <alignment horizontal="center" vertical="center"/>
    </xf>
    <xf numFmtId="4" fontId="38" fillId="13" borderId="6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4" fillId="13" borderId="0" xfId="0" applyFont="1" applyFill="1" applyBorder="1" applyAlignment="1">
      <alignment horizontal="left"/>
    </xf>
    <xf numFmtId="0" fontId="0" fillId="13" borderId="6" xfId="0" applyFill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0" fillId="13" borderId="0" xfId="0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0" fillId="13" borderId="37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43" fontId="21" fillId="0" borderId="9" xfId="0" applyNumberFormat="1" applyFont="1" applyBorder="1" applyAlignment="1">
      <alignment horizontal="center"/>
    </xf>
    <xf numFmtId="0" fontId="0" fillId="13" borderId="9" xfId="0" applyFill="1" applyBorder="1" applyAlignment="1">
      <alignment horizontal="center"/>
    </xf>
    <xf numFmtId="43" fontId="21" fillId="9" borderId="38" xfId="0" applyNumberFormat="1" applyFont="1" applyFill="1" applyBorder="1" applyAlignment="1">
      <alignment horizontal="center"/>
    </xf>
    <xf numFmtId="4" fontId="38" fillId="13" borderId="0" xfId="0" applyNumberFormat="1" applyFont="1" applyFill="1" applyBorder="1" applyAlignment="1">
      <alignment horizontal="left"/>
    </xf>
    <xf numFmtId="0" fontId="53" fillId="0" borderId="0" xfId="0" applyFont="1"/>
    <xf numFmtId="4" fontId="54" fillId="0" borderId="0" xfId="0" applyNumberFormat="1" applyFont="1"/>
    <xf numFmtId="4" fontId="55" fillId="17" borderId="0" xfId="0" applyNumberFormat="1" applyFont="1" applyFill="1" applyAlignment="1">
      <alignment horizontal="center" vertical="center"/>
    </xf>
    <xf numFmtId="0" fontId="58" fillId="7" borderId="4" xfId="0" applyFont="1" applyFill="1" applyBorder="1" applyAlignment="1">
      <alignment horizontal="left" vertical="center" wrapText="1"/>
    </xf>
    <xf numFmtId="0" fontId="56" fillId="6" borderId="4" xfId="0" applyFont="1" applyFill="1" applyBorder="1" applyAlignment="1">
      <alignment horizontal="left" vertical="center" wrapText="1"/>
    </xf>
    <xf numFmtId="8" fontId="57" fillId="6" borderId="4" xfId="0" applyNumberFormat="1" applyFont="1" applyFill="1" applyBorder="1" applyAlignment="1">
      <alignment horizontal="right" vertical="center" wrapText="1"/>
    </xf>
    <xf numFmtId="8" fontId="57" fillId="7" borderId="4" xfId="0" applyNumberFormat="1" applyFont="1" applyFill="1" applyBorder="1" applyAlignment="1">
      <alignment horizontal="right" vertical="center" wrapText="1"/>
    </xf>
    <xf numFmtId="8" fontId="59" fillId="6" borderId="4" xfId="0" applyNumberFormat="1" applyFont="1" applyFill="1" applyBorder="1" applyAlignment="1">
      <alignment horizontal="right" vertical="center" wrapText="1"/>
    </xf>
    <xf numFmtId="8" fontId="59" fillId="7" borderId="4" xfId="0" applyNumberFormat="1" applyFont="1" applyFill="1" applyBorder="1" applyAlignment="1">
      <alignment horizontal="right" vertical="center" wrapText="1"/>
    </xf>
    <xf numFmtId="0" fontId="0" fillId="9" borderId="0" xfId="0" applyFont="1" applyFill="1"/>
    <xf numFmtId="4" fontId="61" fillId="9" borderId="0" xfId="0" applyNumberFormat="1" applyFont="1" applyFill="1"/>
    <xf numFmtId="43" fontId="2" fillId="0" borderId="45" xfId="1" applyFont="1" applyBorder="1"/>
    <xf numFmtId="0" fontId="22" fillId="14" borderId="45" xfId="0" applyNumberFormat="1" applyFont="1" applyFill="1" applyBorder="1" applyAlignment="1">
      <alignment horizontal="center" vertical="top" wrapText="1"/>
    </xf>
    <xf numFmtId="4" fontId="0" fillId="9" borderId="45" xfId="0" applyNumberFormat="1" applyFont="1" applyFill="1" applyBorder="1"/>
    <xf numFmtId="0" fontId="0" fillId="0" borderId="45" xfId="0" applyBorder="1"/>
    <xf numFmtId="43" fontId="21" fillId="9" borderId="9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/>
    <xf numFmtId="0" fontId="64" fillId="14" borderId="0" xfId="0" applyNumberFormat="1" applyFont="1" applyFill="1" applyBorder="1" applyAlignment="1">
      <alignment horizontal="left" vertical="top" wrapText="1"/>
    </xf>
    <xf numFmtId="4" fontId="17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29" fillId="9" borderId="0" xfId="0" applyFont="1" applyFill="1" applyAlignment="1">
      <alignment vertical="center"/>
    </xf>
    <xf numFmtId="0" fontId="5" fillId="17" borderId="21" xfId="0" applyFont="1" applyFill="1" applyBorder="1"/>
    <xf numFmtId="4" fontId="0" fillId="17" borderId="1" xfId="0" applyNumberFormat="1" applyFont="1" applyFill="1" applyBorder="1"/>
    <xf numFmtId="0" fontId="0" fillId="17" borderId="1" xfId="0" applyFill="1" applyBorder="1"/>
    <xf numFmtId="0" fontId="0" fillId="17" borderId="20" xfId="0" applyFill="1" applyBorder="1"/>
    <xf numFmtId="0" fontId="0" fillId="17" borderId="0" xfId="0" applyFill="1" applyBorder="1"/>
    <xf numFmtId="0" fontId="0" fillId="17" borderId="33" xfId="0" applyFill="1" applyBorder="1"/>
    <xf numFmtId="0" fontId="20" fillId="0" borderId="23" xfId="0" applyFont="1" applyBorder="1"/>
    <xf numFmtId="4" fontId="20" fillId="5" borderId="2" xfId="0" applyNumberFormat="1" applyFont="1" applyFill="1" applyBorder="1"/>
    <xf numFmtId="0" fontId="66" fillId="0" borderId="0" xfId="0" applyFont="1" applyAlignment="1">
      <alignment vertical="center"/>
    </xf>
    <xf numFmtId="4" fontId="66" fillId="5" borderId="0" xfId="0" applyNumberFormat="1" applyFont="1" applyFill="1" applyAlignment="1">
      <alignment vertical="center"/>
    </xf>
    <xf numFmtId="0" fontId="0" fillId="6" borderId="4" xfId="0" applyFill="1" applyBorder="1" applyAlignment="1">
      <alignment vertical="center" wrapText="1"/>
    </xf>
    <xf numFmtId="0" fontId="67" fillId="6" borderId="4" xfId="0" applyFont="1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68" fillId="7" borderId="4" xfId="0" applyFont="1" applyFill="1" applyBorder="1" applyAlignment="1">
      <alignment vertical="center" wrapText="1"/>
    </xf>
    <xf numFmtId="44" fontId="0" fillId="0" borderId="0" xfId="2" applyFont="1"/>
    <xf numFmtId="44" fontId="9" fillId="6" borderId="6" xfId="2" applyNumberFormat="1" applyFont="1" applyFill="1" applyBorder="1" applyAlignment="1">
      <alignment horizontal="left"/>
    </xf>
    <xf numFmtId="0" fontId="0" fillId="6" borderId="0" xfId="0" applyFill="1" applyAlignment="1">
      <alignment vertical="center" wrapText="1"/>
    </xf>
    <xf numFmtId="0" fontId="8" fillId="0" borderId="5" xfId="0" applyFont="1" applyFill="1" applyBorder="1" applyAlignment="1">
      <alignment horizontal="left" vertical="center"/>
    </xf>
    <xf numFmtId="44" fontId="9" fillId="6" borderId="4" xfId="2" applyNumberFormat="1" applyFont="1" applyFill="1" applyBorder="1" applyAlignment="1">
      <alignment horizontal="left"/>
    </xf>
    <xf numFmtId="44" fontId="7" fillId="7" borderId="4" xfId="2" applyNumberFormat="1" applyFont="1" applyFill="1" applyBorder="1" applyAlignment="1">
      <alignment horizontal="left"/>
    </xf>
    <xf numFmtId="9" fontId="20" fillId="5" borderId="0" xfId="3" applyFont="1" applyFill="1"/>
    <xf numFmtId="44" fontId="0" fillId="0" borderId="37" xfId="2" applyFont="1" applyFill="1" applyBorder="1" applyAlignment="1">
      <alignment horizontal="left" vertical="top"/>
    </xf>
    <xf numFmtId="44" fontId="0" fillId="0" borderId="37" xfId="0" applyNumberFormat="1" applyFill="1" applyBorder="1" applyAlignment="1">
      <alignment horizontal="left" vertical="top"/>
    </xf>
    <xf numFmtId="44" fontId="0" fillId="0" borderId="38" xfId="2" applyFont="1" applyFill="1" applyBorder="1" applyAlignment="1">
      <alignment horizontal="left" vertical="top"/>
    </xf>
    <xf numFmtId="9" fontId="0" fillId="0" borderId="0" xfId="3" applyFont="1" applyFill="1" applyBorder="1" applyAlignment="1">
      <alignment horizontal="left" vertical="top"/>
    </xf>
    <xf numFmtId="0" fontId="0" fillId="0" borderId="0" xfId="0" applyNumberFormat="1" applyFont="1" applyFill="1" applyBorder="1" applyAlignment="1"/>
    <xf numFmtId="0" fontId="29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/>
    </xf>
    <xf numFmtId="0" fontId="28" fillId="13" borderId="14" xfId="0" applyFont="1" applyFill="1" applyBorder="1" applyAlignment="1">
      <alignment horizontal="center" vertical="center" wrapText="1"/>
    </xf>
    <xf numFmtId="0" fontId="0" fillId="0" borderId="0" xfId="0" applyFill="1"/>
    <xf numFmtId="0" fontId="71" fillId="6" borderId="4" xfId="0" applyFont="1" applyFill="1" applyBorder="1" applyAlignment="1">
      <alignment horizontal="left" vertical="center" wrapText="1"/>
    </xf>
    <xf numFmtId="0" fontId="49" fillId="6" borderId="4" xfId="0" applyFont="1" applyFill="1" applyBorder="1" applyAlignment="1">
      <alignment horizontal="right" vertical="center" wrapText="1"/>
    </xf>
    <xf numFmtId="0" fontId="49" fillId="7" borderId="4" xfId="0" applyFont="1" applyFill="1" applyBorder="1" applyAlignment="1">
      <alignment horizontal="right" vertical="center" wrapText="1"/>
    </xf>
    <xf numFmtId="0" fontId="52" fillId="6" borderId="4" xfId="0" applyFont="1" applyFill="1" applyBorder="1" applyAlignment="1">
      <alignment horizontal="right" vertical="center" wrapText="1"/>
    </xf>
    <xf numFmtId="0" fontId="52" fillId="7" borderId="4" xfId="0" applyFont="1" applyFill="1" applyBorder="1" applyAlignment="1">
      <alignment horizontal="right" vertical="center" wrapText="1"/>
    </xf>
    <xf numFmtId="0" fontId="3" fillId="0" borderId="0" xfId="0" applyFont="1" applyFill="1"/>
    <xf numFmtId="4" fontId="0" fillId="0" borderId="45" xfId="0" applyNumberFormat="1" applyFont="1" applyFill="1" applyBorder="1" applyAlignment="1">
      <alignment horizontal="center"/>
    </xf>
    <xf numFmtId="0" fontId="8" fillId="21" borderId="5" xfId="0" applyFont="1" applyFill="1" applyBorder="1" applyAlignment="1">
      <alignment horizontal="left" vertical="center"/>
    </xf>
    <xf numFmtId="0" fontId="0" fillId="21" borderId="0" xfId="0" applyFill="1"/>
    <xf numFmtId="0" fontId="73" fillId="2" borderId="0" xfId="0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/>
    <xf numFmtId="0" fontId="5" fillId="0" borderId="37" xfId="0" applyFont="1" applyBorder="1" applyAlignment="1">
      <alignment horizontal="left" indent="1"/>
    </xf>
    <xf numFmtId="4" fontId="5" fillId="0" borderId="37" xfId="0" applyNumberFormat="1" applyFont="1" applyBorder="1" applyAlignment="1">
      <alignment horizontal="center"/>
    </xf>
    <xf numFmtId="43" fontId="21" fillId="0" borderId="38" xfId="0" applyNumberFormat="1" applyFont="1" applyBorder="1" applyAlignment="1">
      <alignment horizontal="center"/>
    </xf>
    <xf numFmtId="168" fontId="0" fillId="0" borderId="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14" fontId="2" fillId="0" borderId="1" xfId="0" applyNumberFormat="1" applyFont="1" applyFill="1" applyBorder="1" applyAlignment="1">
      <alignment horizontal="left"/>
    </xf>
    <xf numFmtId="14" fontId="47" fillId="0" borderId="0" xfId="0" applyNumberFormat="1" applyFont="1" applyFill="1" applyAlignment="1">
      <alignment vertical="center"/>
    </xf>
    <xf numFmtId="0" fontId="60" fillId="0" borderId="1" xfId="0" applyNumberFormat="1" applyFont="1" applyFill="1" applyBorder="1" applyAlignment="1">
      <alignment vertical="top" wrapText="1"/>
    </xf>
    <xf numFmtId="167" fontId="2" fillId="21" borderId="1" xfId="0" applyNumberFormat="1" applyFont="1" applyFill="1" applyBorder="1" applyAlignment="1">
      <alignment horizontal="left"/>
    </xf>
    <xf numFmtId="14" fontId="2" fillId="0" borderId="2" xfId="0" applyNumberFormat="1" applyFont="1" applyFill="1" applyBorder="1" applyAlignment="1"/>
    <xf numFmtId="168" fontId="0" fillId="0" borderId="2" xfId="0" quotePrefix="1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0" fontId="19" fillId="14" borderId="0" xfId="0" applyNumberFormat="1" applyFont="1" applyFill="1" applyBorder="1" applyAlignment="1">
      <alignment horizontal="left" vertical="top"/>
    </xf>
    <xf numFmtId="0" fontId="16" fillId="14" borderId="24" xfId="0" applyNumberFormat="1" applyFont="1" applyFill="1" applyBorder="1" applyAlignment="1">
      <alignment horizontal="left" vertical="top"/>
    </xf>
    <xf numFmtId="43" fontId="0" fillId="0" borderId="17" xfId="1" applyFont="1" applyBorder="1"/>
    <xf numFmtId="44" fontId="0" fillId="0" borderId="9" xfId="2" applyFont="1" applyFill="1" applyBorder="1" applyAlignment="1">
      <alignment horizontal="left" vertical="top"/>
    </xf>
    <xf numFmtId="44" fontId="0" fillId="0" borderId="47" xfId="2" applyFont="1" applyFill="1" applyBorder="1" applyAlignment="1">
      <alignment horizontal="left" vertical="top"/>
    </xf>
    <xf numFmtId="44" fontId="0" fillId="0" borderId="48" xfId="2" applyFont="1" applyFill="1" applyBorder="1" applyAlignment="1">
      <alignment horizontal="left" vertical="top"/>
    </xf>
    <xf numFmtId="43" fontId="75" fillId="17" borderId="0" xfId="1" applyFont="1" applyFill="1"/>
    <xf numFmtId="0" fontId="72" fillId="0" borderId="0" xfId="0" applyFont="1" applyFill="1" applyBorder="1" applyAlignment="1">
      <alignment horizontal="center" vertical="top"/>
    </xf>
    <xf numFmtId="166" fontId="36" fillId="0" borderId="21" xfId="1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right" vertical="top"/>
    </xf>
    <xf numFmtId="0" fontId="77" fillId="0" borderId="0" xfId="0" applyFont="1" applyFill="1"/>
    <xf numFmtId="4" fontId="77" fillId="0" borderId="0" xfId="0" applyNumberFormat="1" applyFont="1" applyFill="1"/>
    <xf numFmtId="0" fontId="78" fillId="0" borderId="0" xfId="0" applyFont="1" applyFill="1" applyAlignment="1">
      <alignment vertical="center" wrapText="1"/>
    </xf>
    <xf numFmtId="0" fontId="79" fillId="0" borderId="0" xfId="0" applyFont="1" applyFill="1" applyBorder="1" applyAlignment="1"/>
    <xf numFmtId="0" fontId="79" fillId="0" borderId="0" xfId="0" applyFont="1" applyFill="1" applyBorder="1" applyAlignment="1">
      <alignment horizontal="center"/>
    </xf>
    <xf numFmtId="0" fontId="79" fillId="2" borderId="0" xfId="0" applyFont="1" applyFill="1" applyBorder="1" applyAlignment="1">
      <alignment horizontal="center"/>
    </xf>
    <xf numFmtId="43" fontId="79" fillId="0" borderId="0" xfId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81" fillId="0" borderId="1" xfId="0" applyFont="1" applyFill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center" vertical="center" wrapText="1"/>
    </xf>
    <xf numFmtId="4" fontId="82" fillId="0" borderId="14" xfId="0" applyNumberFormat="1" applyFont="1" applyFill="1" applyBorder="1" applyAlignment="1">
      <alignment horizontal="center" vertical="center" wrapText="1"/>
    </xf>
    <xf numFmtId="43" fontId="82" fillId="0" borderId="17" xfId="1" applyFont="1" applyFill="1" applyBorder="1" applyAlignment="1">
      <alignment horizontal="center" vertical="center" wrapText="1"/>
    </xf>
    <xf numFmtId="49" fontId="0" fillId="0" borderId="0" xfId="0" applyNumberFormat="1"/>
    <xf numFmtId="0" fontId="77" fillId="0" borderId="21" xfId="0" applyFont="1" applyFill="1" applyBorder="1"/>
    <xf numFmtId="165" fontId="29" fillId="0" borderId="21" xfId="3" applyNumberFormat="1" applyFont="1" applyFill="1" applyBorder="1" applyAlignment="1">
      <alignment horizontal="center" vertical="center"/>
    </xf>
    <xf numFmtId="43" fontId="77" fillId="0" borderId="14" xfId="1" applyFont="1" applyFill="1" applyBorder="1"/>
    <xf numFmtId="43" fontId="77" fillId="0" borderId="20" xfId="1" applyFont="1" applyFill="1" applyBorder="1"/>
    <xf numFmtId="4" fontId="77" fillId="0" borderId="1" xfId="0" applyNumberFormat="1" applyFont="1" applyFill="1" applyBorder="1"/>
    <xf numFmtId="43" fontId="77" fillId="0" borderId="0" xfId="1" applyFont="1" applyFill="1"/>
    <xf numFmtId="165" fontId="29" fillId="2" borderId="21" xfId="3" applyNumberFormat="1" applyFont="1" applyFill="1" applyBorder="1" applyAlignment="1">
      <alignment horizontal="center" vertical="center"/>
    </xf>
    <xf numFmtId="43" fontId="77" fillId="0" borderId="1" xfId="1" applyFont="1" applyFill="1" applyBorder="1"/>
    <xf numFmtId="43" fontId="77" fillId="0" borderId="15" xfId="0" applyNumberFormat="1" applyFont="1" applyFill="1" applyBorder="1"/>
    <xf numFmtId="165" fontId="77" fillId="0" borderId="0" xfId="3" applyNumberFormat="1" applyFont="1" applyFill="1"/>
    <xf numFmtId="0" fontId="77" fillId="0" borderId="22" xfId="0" applyFont="1" applyFill="1" applyBorder="1"/>
    <xf numFmtId="165" fontId="29" fillId="0" borderId="22" xfId="3" applyNumberFormat="1" applyFont="1" applyFill="1" applyBorder="1" applyAlignment="1">
      <alignment horizontal="center" vertical="center"/>
    </xf>
    <xf numFmtId="43" fontId="77" fillId="0" borderId="15" xfId="1" applyFont="1" applyFill="1" applyBorder="1"/>
    <xf numFmtId="43" fontId="77" fillId="0" borderId="33" xfId="1" applyFont="1" applyFill="1" applyBorder="1"/>
    <xf numFmtId="4" fontId="77" fillId="0" borderId="0" xfId="0" applyNumberFormat="1" applyFont="1" applyFill="1" applyBorder="1"/>
    <xf numFmtId="165" fontId="29" fillId="2" borderId="22" xfId="3" applyNumberFormat="1" applyFont="1" applyFill="1" applyBorder="1" applyAlignment="1">
      <alignment horizontal="center" vertical="center"/>
    </xf>
    <xf numFmtId="43" fontId="77" fillId="0" borderId="0" xfId="1" applyFont="1" applyFill="1" applyBorder="1"/>
    <xf numFmtId="0" fontId="77" fillId="0" borderId="22" xfId="0" applyFont="1" applyFill="1" applyBorder="1" applyAlignment="1">
      <alignment vertical="top"/>
    </xf>
    <xf numFmtId="0" fontId="77" fillId="0" borderId="0" xfId="0" applyFont="1" applyFill="1" applyAlignment="1">
      <alignment vertical="top"/>
    </xf>
    <xf numFmtId="165" fontId="77" fillId="0" borderId="0" xfId="3" applyNumberFormat="1" applyFont="1" applyFill="1" applyAlignment="1">
      <alignment vertical="top"/>
    </xf>
    <xf numFmtId="0" fontId="77" fillId="0" borderId="23" xfId="0" applyFont="1" applyFill="1" applyBorder="1"/>
    <xf numFmtId="165" fontId="29" fillId="0" borderId="23" xfId="3" applyNumberFormat="1" applyFont="1" applyFill="1" applyBorder="1" applyAlignment="1">
      <alignment horizontal="center" vertical="center"/>
    </xf>
    <xf numFmtId="43" fontId="77" fillId="0" borderId="16" xfId="1" applyFont="1" applyFill="1" applyBorder="1"/>
    <xf numFmtId="4" fontId="77" fillId="0" borderId="2" xfId="0" applyNumberFormat="1" applyFont="1" applyFill="1" applyBorder="1"/>
    <xf numFmtId="165" fontId="29" fillId="2" borderId="23" xfId="3" applyNumberFormat="1" applyFont="1" applyFill="1" applyBorder="1" applyAlignment="1">
      <alignment horizontal="center" vertical="center"/>
    </xf>
    <xf numFmtId="43" fontId="77" fillId="0" borderId="16" xfId="0" applyNumberFormat="1" applyFont="1" applyFill="1" applyBorder="1"/>
    <xf numFmtId="0" fontId="78" fillId="0" borderId="18" xfId="0" applyFont="1" applyFill="1" applyBorder="1" applyAlignment="1"/>
    <xf numFmtId="9" fontId="79" fillId="0" borderId="23" xfId="3" applyNumberFormat="1" applyFont="1" applyFill="1" applyBorder="1" applyAlignment="1">
      <alignment horizontal="center"/>
    </xf>
    <xf numFmtId="4" fontId="78" fillId="0" borderId="23" xfId="0" applyNumberFormat="1" applyFont="1" applyFill="1" applyBorder="1"/>
    <xf numFmtId="43" fontId="77" fillId="0" borderId="17" xfId="1" applyFont="1" applyFill="1" applyBorder="1"/>
    <xf numFmtId="4" fontId="78" fillId="0" borderId="34" xfId="0" applyNumberFormat="1" applyFont="1" applyFill="1" applyBorder="1"/>
    <xf numFmtId="4" fontId="79" fillId="0" borderId="16" xfId="0" applyNumberFormat="1" applyFont="1" applyFill="1" applyBorder="1" applyAlignment="1"/>
    <xf numFmtId="169" fontId="78" fillId="0" borderId="17" xfId="1" applyNumberFormat="1" applyFont="1" applyFill="1" applyBorder="1"/>
    <xf numFmtId="9" fontId="79" fillId="2" borderId="18" xfId="3" applyNumberFormat="1" applyFont="1" applyFill="1" applyBorder="1" applyAlignment="1">
      <alignment horizontal="center"/>
    </xf>
    <xf numFmtId="169" fontId="78" fillId="0" borderId="16" xfId="1" applyNumberFormat="1" applyFont="1" applyFill="1" applyBorder="1"/>
    <xf numFmtId="43" fontId="79" fillId="0" borderId="18" xfId="1" applyFont="1" applyFill="1" applyBorder="1" applyAlignment="1">
      <alignment horizontal="right"/>
    </xf>
    <xf numFmtId="43" fontId="79" fillId="0" borderId="17" xfId="1" applyFont="1" applyFill="1" applyBorder="1" applyAlignment="1">
      <alignment horizontal="right"/>
    </xf>
    <xf numFmtId="0" fontId="77" fillId="0" borderId="1" xfId="0" applyFont="1" applyFill="1" applyBorder="1" applyAlignment="1"/>
    <xf numFmtId="0" fontId="77" fillId="0" borderId="0" xfId="0" applyFont="1" applyFill="1" applyBorder="1" applyAlignment="1"/>
    <xf numFmtId="4" fontId="79" fillId="0" borderId="0" xfId="0" applyNumberFormat="1" applyFont="1" applyFill="1" applyBorder="1"/>
    <xf numFmtId="4" fontId="78" fillId="0" borderId="0" xfId="0" applyNumberFormat="1" applyFont="1" applyFill="1" applyBorder="1" applyAlignment="1">
      <alignment horizontal="right"/>
    </xf>
    <xf numFmtId="4" fontId="78" fillId="0" borderId="0" xfId="0" applyNumberFormat="1" applyFont="1" applyFill="1" applyBorder="1"/>
    <xf numFmtId="4" fontId="78" fillId="2" borderId="0" xfId="0" applyNumberFormat="1" applyFont="1" applyFill="1" applyBorder="1"/>
    <xf numFmtId="4" fontId="79" fillId="0" borderId="0" xfId="0" applyNumberFormat="1" applyFont="1" applyFill="1" applyBorder="1" applyAlignment="1"/>
    <xf numFmtId="43" fontId="77" fillId="0" borderId="0" xfId="0" applyNumberFormat="1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43" fontId="12" fillId="0" borderId="0" xfId="1" applyFont="1" applyFill="1" applyAlignment="1">
      <alignment horizontal="left"/>
    </xf>
    <xf numFmtId="165" fontId="77" fillId="0" borderId="0" xfId="0" applyNumberFormat="1" applyFont="1" applyFill="1" applyBorder="1"/>
    <xf numFmtId="0" fontId="12" fillId="0" borderId="0" xfId="0" applyFont="1" applyFill="1" applyAlignment="1"/>
    <xf numFmtId="0" fontId="12" fillId="0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43" fontId="12" fillId="0" borderId="0" xfId="1" applyFont="1" applyFill="1" applyBorder="1" applyAlignment="1">
      <alignment horizontal="left"/>
    </xf>
    <xf numFmtId="0" fontId="12" fillId="0" borderId="0" xfId="0" applyFont="1" applyFill="1" applyAlignment="1">
      <alignment horizontal="justify" vertical="justify"/>
    </xf>
    <xf numFmtId="0" fontId="12" fillId="0" borderId="0" xfId="0" applyFont="1" applyFill="1" applyBorder="1" applyAlignment="1"/>
    <xf numFmtId="0" fontId="77" fillId="2" borderId="0" xfId="0" applyFont="1" applyFill="1"/>
    <xf numFmtId="4" fontId="83" fillId="0" borderId="0" xfId="0" applyNumberFormat="1" applyFont="1" applyFill="1"/>
    <xf numFmtId="0" fontId="83" fillId="0" borderId="0" xfId="0" applyFont="1" applyFill="1"/>
    <xf numFmtId="169" fontId="77" fillId="2" borderId="0" xfId="0" applyNumberFormat="1" applyFont="1" applyFill="1"/>
    <xf numFmtId="43" fontId="83" fillId="0" borderId="0" xfId="0" applyNumberFormat="1" applyFont="1" applyFill="1"/>
    <xf numFmtId="43" fontId="83" fillId="0" borderId="0" xfId="1" applyFont="1" applyFill="1"/>
    <xf numFmtId="4" fontId="77" fillId="0" borderId="0" xfId="1" applyNumberFormat="1" applyFont="1" applyFill="1" applyBorder="1"/>
    <xf numFmtId="0" fontId="77" fillId="0" borderId="0" xfId="0" applyFont="1" applyFill="1" applyBorder="1"/>
    <xf numFmtId="43" fontId="77" fillId="0" borderId="0" xfId="0" applyNumberFormat="1" applyFont="1" applyFill="1" applyBorder="1"/>
    <xf numFmtId="4" fontId="77" fillId="0" borderId="0" xfId="0" applyNumberFormat="1" applyFont="1" applyFill="1" applyBorder="1" applyAlignment="1">
      <alignment horizontal="right" vertical="top" wrapText="1"/>
    </xf>
    <xf numFmtId="4" fontId="77" fillId="0" borderId="0" xfId="0" applyNumberFormat="1" applyFont="1"/>
    <xf numFmtId="0" fontId="0" fillId="0" borderId="0" xfId="0" applyNumberFormat="1" applyFont="1" applyFill="1" applyBorder="1" applyAlignment="1"/>
    <xf numFmtId="0" fontId="51" fillId="7" borderId="4" xfId="0" applyFont="1" applyFill="1" applyBorder="1" applyAlignment="1">
      <alignment horizontal="right" vertical="center" wrapText="1"/>
    </xf>
    <xf numFmtId="0" fontId="49" fillId="0" borderId="0" xfId="0" applyFont="1"/>
    <xf numFmtId="0" fontId="85" fillId="14" borderId="0" xfId="0" applyNumberFormat="1" applyFont="1" applyFill="1" applyBorder="1" applyAlignment="1">
      <alignment horizontal="right" vertical="top" wrapText="1"/>
    </xf>
    <xf numFmtId="0" fontId="64" fillId="14" borderId="0" xfId="0" applyNumberFormat="1" applyFont="1" applyFill="1" applyBorder="1" applyAlignment="1">
      <alignment horizontal="left" vertical="top" wrapText="1" indent="5"/>
    </xf>
    <xf numFmtId="43" fontId="36" fillId="2" borderId="15" xfId="0" applyNumberFormat="1" applyFont="1" applyFill="1" applyBorder="1" applyAlignment="1">
      <alignment horizontal="right" vertical="center"/>
    </xf>
    <xf numFmtId="43" fontId="36" fillId="2" borderId="16" xfId="0" applyNumberFormat="1" applyFont="1" applyFill="1" applyBorder="1" applyAlignment="1">
      <alignment horizontal="right" vertical="center"/>
    </xf>
    <xf numFmtId="43" fontId="36" fillId="13" borderId="16" xfId="0" applyNumberFormat="1" applyFont="1" applyFill="1" applyBorder="1" applyAlignment="1">
      <alignment horizontal="right" vertical="center"/>
    </xf>
    <xf numFmtId="0" fontId="28" fillId="2" borderId="0" xfId="0" applyFont="1" applyFill="1" applyBorder="1" applyAlignment="1">
      <alignment vertical="center"/>
    </xf>
    <xf numFmtId="0" fontId="12" fillId="2" borderId="0" xfId="0" applyFont="1" applyFill="1" applyAlignment="1">
      <alignment horizontal="left" vertical="center" wrapText="1"/>
    </xf>
    <xf numFmtId="0" fontId="28" fillId="13" borderId="14" xfId="0" applyFont="1" applyFill="1" applyBorder="1" applyAlignment="1">
      <alignment horizontal="center" vertical="center" wrapText="1"/>
    </xf>
    <xf numFmtId="0" fontId="28" fillId="13" borderId="15" xfId="0" applyFont="1" applyFill="1" applyBorder="1" applyAlignment="1">
      <alignment horizontal="center" vertical="center" wrapText="1"/>
    </xf>
    <xf numFmtId="0" fontId="12" fillId="2" borderId="0" xfId="0" quotePrefix="1" applyFont="1" applyFill="1" applyAlignment="1">
      <alignment horizontal="justify" vertical="center" wrapText="1"/>
    </xf>
    <xf numFmtId="0" fontId="12" fillId="2" borderId="0" xfId="0" applyFont="1" applyFill="1" applyAlignment="1">
      <alignment horizontal="justify" vertical="center" wrapText="1"/>
    </xf>
    <xf numFmtId="0" fontId="72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top"/>
    </xf>
    <xf numFmtId="0" fontId="74" fillId="2" borderId="2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justify" vertical="center" wrapText="1"/>
    </xf>
    <xf numFmtId="0" fontId="28" fillId="13" borderId="18" xfId="0" applyFont="1" applyFill="1" applyBorder="1" applyAlignment="1">
      <alignment horizontal="center" vertical="center" wrapText="1"/>
    </xf>
    <xf numFmtId="0" fontId="28" fillId="13" borderId="19" xfId="0" applyFont="1" applyFill="1" applyBorder="1" applyAlignment="1">
      <alignment horizontal="center" vertical="center" wrapText="1"/>
    </xf>
    <xf numFmtId="0" fontId="28" fillId="13" borderId="16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right" vertical="center"/>
    </xf>
    <xf numFmtId="4" fontId="29" fillId="2" borderId="0" xfId="0" applyNumberFormat="1" applyFont="1" applyFill="1" applyAlignment="1">
      <alignment horizontal="center" vertical="center"/>
    </xf>
    <xf numFmtId="4" fontId="29" fillId="9" borderId="0" xfId="0" applyNumberFormat="1" applyFont="1" applyFill="1" applyAlignment="1">
      <alignment horizontal="center" vertical="center"/>
    </xf>
    <xf numFmtId="0" fontId="29" fillId="2" borderId="1" xfId="0" applyFont="1" applyFill="1" applyBorder="1" applyAlignment="1">
      <alignment horizontal="right" vertical="center"/>
    </xf>
    <xf numFmtId="0" fontId="78" fillId="0" borderId="0" xfId="0" applyFont="1" applyFill="1" applyAlignment="1">
      <alignment horizontal="center" vertical="center" wrapText="1"/>
    </xf>
    <xf numFmtId="0" fontId="79" fillId="0" borderId="0" xfId="0" applyFont="1" applyFill="1" applyBorder="1" applyAlignment="1">
      <alignment horizontal="center"/>
    </xf>
    <xf numFmtId="0" fontId="77" fillId="2" borderId="0" xfId="0" applyFont="1" applyFill="1" applyAlignment="1">
      <alignment horizontal="left"/>
    </xf>
    <xf numFmtId="0" fontId="2" fillId="21" borderId="2" xfId="0" applyFont="1" applyFill="1" applyBorder="1" applyAlignment="1">
      <alignment horizontal="center"/>
    </xf>
    <xf numFmtId="0" fontId="2" fillId="21" borderId="3" xfId="0" applyFont="1" applyFill="1" applyBorder="1" applyAlignment="1">
      <alignment horizontal="center"/>
    </xf>
    <xf numFmtId="167" fontId="65" fillId="21" borderId="2" xfId="0" applyNumberFormat="1" applyFont="1" applyFill="1" applyBorder="1" applyAlignment="1">
      <alignment horizontal="center"/>
    </xf>
    <xf numFmtId="167" fontId="65" fillId="21" borderId="0" xfId="0" applyNumberFormat="1" applyFont="1" applyFill="1" applyBorder="1" applyAlignment="1">
      <alignment horizontal="center"/>
    </xf>
    <xf numFmtId="0" fontId="43" fillId="8" borderId="0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left" vertical="center" wrapText="1"/>
    </xf>
    <xf numFmtId="0" fontId="8" fillId="6" borderId="36" xfId="0" applyFont="1" applyFill="1" applyBorder="1" applyAlignment="1">
      <alignment horizontal="left" vertical="center" wrapText="1"/>
    </xf>
    <xf numFmtId="0" fontId="8" fillId="6" borderId="46" xfId="0" applyFont="1" applyFill="1" applyBorder="1" applyAlignment="1">
      <alignment horizontal="left" vertical="center" wrapText="1"/>
    </xf>
    <xf numFmtId="0" fontId="69" fillId="8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8" fontId="0" fillId="21" borderId="2" xfId="0" applyNumberFormat="1" applyFont="1" applyFill="1" applyBorder="1" applyAlignment="1">
      <alignment horizontal="center"/>
    </xf>
    <xf numFmtId="168" fontId="0" fillId="0" borderId="2" xfId="0" applyNumberFormat="1" applyFont="1" applyFill="1" applyBorder="1" applyAlignment="1">
      <alignment horizontal="center"/>
    </xf>
    <xf numFmtId="168" fontId="0" fillId="0" borderId="2" xfId="0" quotePrefix="1" applyNumberFormat="1" applyFont="1" applyFill="1" applyBorder="1" applyAlignment="1">
      <alignment horizontal="center"/>
    </xf>
    <xf numFmtId="4" fontId="42" fillId="0" borderId="14" xfId="0" applyNumberFormat="1" applyFont="1" applyFill="1" applyBorder="1" applyAlignment="1">
      <alignment horizontal="center" vertical="center"/>
    </xf>
    <xf numFmtId="4" fontId="4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44" fontId="40" fillId="0" borderId="18" xfId="2" applyFont="1" applyFill="1" applyBorder="1" applyAlignment="1">
      <alignment horizontal="center" vertical="center"/>
    </xf>
    <xf numFmtId="44" fontId="40" fillId="0" borderId="19" xfId="2" applyFont="1" applyFill="1" applyBorder="1" applyAlignment="1">
      <alignment horizontal="center" vertical="center"/>
    </xf>
    <xf numFmtId="0" fontId="2" fillId="18" borderId="43" xfId="0" applyFont="1" applyFill="1" applyBorder="1" applyAlignment="1">
      <alignment horizontal="center" vertical="center" wrapText="1"/>
    </xf>
    <xf numFmtId="0" fontId="2" fillId="18" borderId="43" xfId="0" applyFont="1" applyFill="1" applyBorder="1" applyAlignment="1">
      <alignment horizontal="center" vertical="center"/>
    </xf>
    <xf numFmtId="0" fontId="2" fillId="18" borderId="44" xfId="0" applyFont="1" applyFill="1" applyBorder="1" applyAlignment="1">
      <alignment horizontal="center" vertical="center"/>
    </xf>
    <xf numFmtId="0" fontId="2" fillId="18" borderId="42" xfId="0" applyFont="1" applyFill="1" applyBorder="1" applyAlignment="1">
      <alignment horizontal="center" vertical="center"/>
    </xf>
    <xf numFmtId="0" fontId="0" fillId="18" borderId="39" xfId="0" applyFill="1" applyBorder="1" applyAlignment="1">
      <alignment horizontal="center"/>
    </xf>
    <xf numFmtId="0" fontId="0" fillId="18" borderId="40" xfId="0" applyFill="1" applyBorder="1" applyAlignment="1">
      <alignment horizontal="center"/>
    </xf>
    <xf numFmtId="0" fontId="84" fillId="14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/>
    <xf numFmtId="0" fontId="15" fillId="14" borderId="29" xfId="0" applyFont="1" applyFill="1" applyBorder="1" applyAlignment="1">
      <alignment horizontal="left" vertical="top" wrapText="1"/>
    </xf>
    <xf numFmtId="0" fontId="15" fillId="14" borderId="30" xfId="0" applyFont="1" applyFill="1" applyBorder="1" applyAlignment="1">
      <alignment horizontal="left" vertical="top" wrapText="1"/>
    </xf>
    <xf numFmtId="0" fontId="15" fillId="14" borderId="31" xfId="0" applyFont="1" applyFill="1" applyBorder="1" applyAlignment="1">
      <alignment horizontal="left" vertical="top" wrapText="1"/>
    </xf>
    <xf numFmtId="0" fontId="13" fillId="14" borderId="0" xfId="0" applyNumberFormat="1" applyFont="1" applyFill="1" applyBorder="1" applyAlignment="1">
      <alignment horizontal="center" wrapText="1"/>
    </xf>
    <xf numFmtId="0" fontId="14" fillId="14" borderId="0" xfId="0" applyNumberFormat="1" applyFont="1" applyFill="1" applyBorder="1" applyAlignment="1">
      <alignment horizontal="center" vertical="top" wrapText="1"/>
    </xf>
    <xf numFmtId="0" fontId="15" fillId="14" borderId="0" xfId="0" applyNumberFormat="1" applyFont="1" applyFill="1" applyBorder="1" applyAlignment="1">
      <alignment horizontal="right" wrapText="1"/>
    </xf>
    <xf numFmtId="0" fontId="16" fillId="15" borderId="24" xfId="0" applyFont="1" applyFill="1" applyBorder="1" applyAlignment="1">
      <alignment horizontal="left" vertical="top" wrapText="1"/>
    </xf>
    <xf numFmtId="0" fontId="16" fillId="14" borderId="25" xfId="0" applyFont="1" applyFill="1" applyBorder="1" applyAlignment="1">
      <alignment horizontal="left" vertical="top" wrapText="1"/>
    </xf>
    <xf numFmtId="0" fontId="16" fillId="14" borderId="26" xfId="0" applyFont="1" applyFill="1" applyBorder="1" applyAlignment="1">
      <alignment horizontal="left" vertical="top" wrapText="1"/>
    </xf>
    <xf numFmtId="0" fontId="16" fillId="14" borderId="27" xfId="0" applyFont="1" applyFill="1" applyBorder="1" applyAlignment="1">
      <alignment horizontal="left" vertical="top" wrapText="1"/>
    </xf>
  </cellXfs>
  <cellStyles count="7">
    <cellStyle name="Hiperlink" xfId="4" builtinId="8"/>
    <cellStyle name="Moeda" xfId="2" builtinId="4"/>
    <cellStyle name="Normal" xfId="0" builtinId="0"/>
    <cellStyle name="Normal 2" xfId="5"/>
    <cellStyle name="Normal 3" xfId="6"/>
    <cellStyle name="Porcentagem" xfId="3" builtinId="5"/>
    <cellStyle name="Vírgula" xfId="1" builtinId="3"/>
  </cellStyles>
  <dxfs count="13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  <fill>
        <patternFill>
          <bgColor rgb="FF92D050"/>
        </patternFill>
      </fill>
    </dxf>
    <dxf>
      <font>
        <b/>
        <i val="0"/>
        <color rgb="FF00B050"/>
      </font>
    </dxf>
    <dxf>
      <font>
        <b/>
        <i val="0"/>
        <color rgb="FF00B050"/>
      </font>
      <fill>
        <patternFill>
          <bgColor rgb="FF92D050"/>
        </patternFill>
      </fill>
    </dxf>
    <dxf>
      <font>
        <b/>
        <i val="0"/>
        <color rgb="FF00B050"/>
      </font>
    </dxf>
    <dxf>
      <font>
        <b/>
        <i val="0"/>
        <color rgb="FF00B050"/>
      </font>
      <fill>
        <patternFill>
          <bgColor rgb="FF92D050"/>
        </patternFill>
      </fill>
    </dxf>
    <dxf>
      <font>
        <b/>
        <i val="0"/>
        <color rgb="FF00B050"/>
      </font>
    </dxf>
    <dxf>
      <font>
        <b/>
        <i val="0"/>
        <color rgb="FF00B050"/>
      </font>
      <fill>
        <patternFill>
          <bgColor rgb="FF92D050"/>
        </patternFill>
      </fill>
    </dxf>
    <dxf>
      <font>
        <b/>
        <i val="0"/>
        <color rgb="FF00B050"/>
      </font>
    </dxf>
    <dxf>
      <font>
        <b/>
        <i val="0"/>
        <color rgb="FF00B050"/>
      </font>
      <fill>
        <patternFill>
          <bgColor rgb="FF92D050"/>
        </patternFill>
      </fill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FFFFE7"/>
      <color rgb="FFFFE9E7"/>
      <color rgb="FFDD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" name="formulario:demonstrativoList:1:subTableLancamentos:0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" name="formulario:demonstrativoList:1:subTableLancamentos:5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4" name="formulario:demonstrativoList:1:subTableLancamentos:10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5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6" name="formulario:demonstrativoList:1:subTableLancamentos:23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7" name="formulario:demonstrativoList:1:subTableLancamentos:31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8" name="formulario:demonstrativoList:1:subTableLancamentos:36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9" name="formulario:demonstrativoList:1:subTableLancamentos:41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0" name="formulario:demonstrativoList:1:subTableLancamentos:49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1" name="formulario:demonstrativoList:1:subTableLancamentos:59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2" name="formulario:demonstrativoList:1:subTableLancamentos:62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3" name="formulario:demonstrativoList:2:subTableLancamentos:0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4" name="formulario:demonstrativoList:1:subTableLancamentos:0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5" name="formulario:demonstrativoList:1:subTableLancamentos: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6" name="formulario:demonstrativoList:1:subTableLancamentos:16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7" name="formulario:demonstrativoList:1:subTableLancamentos:24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8" name="formulario:demonstrativoList:1:subTableLancamentos:31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19" name="formulario:demonstrativoList:1:subTableLancamentos:34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0" name="formulario:demonstrativoList:2:subTableLancamentos:0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1" name="formulario:demonstrativoList:0:subTableLancamentos:0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9525</xdr:colOff>
      <xdr:row>2</xdr:row>
      <xdr:rowOff>9525</xdr:rowOff>
    </xdr:to>
    <xdr:pic>
      <xdr:nvPicPr>
        <xdr:cNvPr id="22" name="formulario:demonstrativoList:1:subTableLancamentos:0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552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9525</xdr:rowOff>
    </xdr:to>
    <xdr:pic>
      <xdr:nvPicPr>
        <xdr:cNvPr id="23" name="formulario:demonstrativoList:1:subTableLancamentos: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48958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24" name="formulario:demonstrativoList:1:subTableLancamentos:16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634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9525</xdr:rowOff>
    </xdr:to>
    <xdr:pic>
      <xdr:nvPicPr>
        <xdr:cNvPr id="25" name="formulario:demonstrativoList:1:subTableLancamentos:24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7791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26" name="formulario:demonstrativoList:1:subTableLancamentos:31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90582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27" name="formulario:demonstrativoList:1:subTableLancamentos:34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9229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9525</xdr:rowOff>
    </xdr:to>
    <xdr:pic>
      <xdr:nvPicPr>
        <xdr:cNvPr id="28" name="formulario:demonstrativoList:2:subTableLancamentos:0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92297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9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21812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30" name="formulario:demonstrativoList:1:subTableLancamentos:23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3086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31" name="formulario:demonstrativoList:1:subTableLancamentos:24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2000250"/>
          <a:ext cx="9525" cy="9525"/>
        </a:xfrm>
        <a:prstGeom prst="rect">
          <a:avLst/>
        </a:prstGeom>
        <a:noFill/>
      </xdr:spPr>
    </xdr:pic>
    <xdr:clientData/>
  </xdr:twoCellAnchor>
  <xdr:oneCellAnchor>
    <xdr:from>
      <xdr:col>2</xdr:col>
      <xdr:colOff>0</xdr:colOff>
      <xdr:row>41</xdr:row>
      <xdr:rowOff>0</xdr:rowOff>
    </xdr:from>
    <xdr:ext cx="9525" cy="9525"/>
    <xdr:pic>
      <xdr:nvPicPr>
        <xdr:cNvPr id="32" name="formulario:demonstrativoList:1:subTableLancamentos:24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77914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34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2400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12</xdr:row>
      <xdr:rowOff>0</xdr:rowOff>
    </xdr:from>
    <xdr:ext cx="9525" cy="9525"/>
    <xdr:pic>
      <xdr:nvPicPr>
        <xdr:cNvPr id="47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2400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12</xdr:row>
      <xdr:rowOff>0</xdr:rowOff>
    </xdr:from>
    <xdr:ext cx="9525" cy="9525"/>
    <xdr:pic>
      <xdr:nvPicPr>
        <xdr:cNvPr id="48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2400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</xdr:row>
      <xdr:rowOff>0</xdr:rowOff>
    </xdr:from>
    <xdr:ext cx="9525" cy="9525"/>
    <xdr:pic>
      <xdr:nvPicPr>
        <xdr:cNvPr id="49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2400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13</xdr:row>
      <xdr:rowOff>0</xdr:rowOff>
    </xdr:from>
    <xdr:ext cx="9525" cy="9525"/>
    <xdr:pic>
      <xdr:nvPicPr>
        <xdr:cNvPr id="50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2400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14</xdr:row>
      <xdr:rowOff>0</xdr:rowOff>
    </xdr:from>
    <xdr:ext cx="9525" cy="9525"/>
    <xdr:pic>
      <xdr:nvPicPr>
        <xdr:cNvPr id="51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2400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14</xdr:row>
      <xdr:rowOff>0</xdr:rowOff>
    </xdr:from>
    <xdr:ext cx="9525" cy="9525"/>
    <xdr:pic>
      <xdr:nvPicPr>
        <xdr:cNvPr id="52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2400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15</xdr:row>
      <xdr:rowOff>0</xdr:rowOff>
    </xdr:from>
    <xdr:ext cx="9525" cy="9525"/>
    <xdr:pic>
      <xdr:nvPicPr>
        <xdr:cNvPr id="53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2400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" cy="9525"/>
    <xdr:pic>
      <xdr:nvPicPr>
        <xdr:cNvPr id="54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2400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16</xdr:row>
      <xdr:rowOff>0</xdr:rowOff>
    </xdr:from>
    <xdr:ext cx="9525" cy="9525"/>
    <xdr:pic>
      <xdr:nvPicPr>
        <xdr:cNvPr id="55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2400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" cy="9525"/>
    <xdr:pic>
      <xdr:nvPicPr>
        <xdr:cNvPr id="56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2400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17</xdr:row>
      <xdr:rowOff>0</xdr:rowOff>
    </xdr:from>
    <xdr:ext cx="9525" cy="9525"/>
    <xdr:pic>
      <xdr:nvPicPr>
        <xdr:cNvPr id="57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2400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17</xdr:row>
      <xdr:rowOff>0</xdr:rowOff>
    </xdr:from>
    <xdr:ext cx="9525" cy="9525"/>
    <xdr:pic>
      <xdr:nvPicPr>
        <xdr:cNvPr id="58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24003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18</xdr:row>
      <xdr:rowOff>0</xdr:rowOff>
    </xdr:from>
    <xdr:ext cx="9525" cy="9525"/>
    <xdr:pic>
      <xdr:nvPicPr>
        <xdr:cNvPr id="63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35814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</xdr:row>
      <xdr:rowOff>0</xdr:rowOff>
    </xdr:from>
    <xdr:ext cx="9525" cy="9525"/>
    <xdr:pic>
      <xdr:nvPicPr>
        <xdr:cNvPr id="64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35814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19</xdr:row>
      <xdr:rowOff>0</xdr:rowOff>
    </xdr:from>
    <xdr:ext cx="9525" cy="9525"/>
    <xdr:pic>
      <xdr:nvPicPr>
        <xdr:cNvPr id="65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35814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0</xdr:rowOff>
    </xdr:from>
    <xdr:ext cx="9525" cy="9525"/>
    <xdr:pic>
      <xdr:nvPicPr>
        <xdr:cNvPr id="66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35814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20</xdr:row>
      <xdr:rowOff>0</xdr:rowOff>
    </xdr:from>
    <xdr:ext cx="9525" cy="9525"/>
    <xdr:pic>
      <xdr:nvPicPr>
        <xdr:cNvPr id="91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35814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20</xdr:row>
      <xdr:rowOff>0</xdr:rowOff>
    </xdr:from>
    <xdr:ext cx="9525" cy="9525"/>
    <xdr:pic>
      <xdr:nvPicPr>
        <xdr:cNvPr id="92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35814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21</xdr:row>
      <xdr:rowOff>0</xdr:rowOff>
    </xdr:from>
    <xdr:ext cx="9525" cy="9525"/>
    <xdr:pic>
      <xdr:nvPicPr>
        <xdr:cNvPr id="93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3781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21</xdr:row>
      <xdr:rowOff>0</xdr:rowOff>
    </xdr:from>
    <xdr:ext cx="9525" cy="9525"/>
    <xdr:pic>
      <xdr:nvPicPr>
        <xdr:cNvPr id="94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3781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22</xdr:row>
      <xdr:rowOff>0</xdr:rowOff>
    </xdr:from>
    <xdr:ext cx="9525" cy="9525"/>
    <xdr:pic>
      <xdr:nvPicPr>
        <xdr:cNvPr id="95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39624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" cy="9525"/>
    <xdr:pic>
      <xdr:nvPicPr>
        <xdr:cNvPr id="96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39624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23</xdr:row>
      <xdr:rowOff>0</xdr:rowOff>
    </xdr:from>
    <xdr:ext cx="9525" cy="9525"/>
    <xdr:pic>
      <xdr:nvPicPr>
        <xdr:cNvPr id="97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35814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" cy="9525"/>
    <xdr:pic>
      <xdr:nvPicPr>
        <xdr:cNvPr id="98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35814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24</xdr:row>
      <xdr:rowOff>0</xdr:rowOff>
    </xdr:from>
    <xdr:ext cx="9525" cy="9525"/>
    <xdr:pic>
      <xdr:nvPicPr>
        <xdr:cNvPr id="99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3781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" cy="9525"/>
    <xdr:pic>
      <xdr:nvPicPr>
        <xdr:cNvPr id="100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3781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25</xdr:row>
      <xdr:rowOff>0</xdr:rowOff>
    </xdr:from>
    <xdr:ext cx="9525" cy="9525"/>
    <xdr:pic>
      <xdr:nvPicPr>
        <xdr:cNvPr id="101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39624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25</xdr:row>
      <xdr:rowOff>0</xdr:rowOff>
    </xdr:from>
    <xdr:ext cx="9525" cy="9525"/>
    <xdr:pic>
      <xdr:nvPicPr>
        <xdr:cNvPr id="102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39624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26</xdr:row>
      <xdr:rowOff>0</xdr:rowOff>
    </xdr:from>
    <xdr:ext cx="9525" cy="9525"/>
    <xdr:pic>
      <xdr:nvPicPr>
        <xdr:cNvPr id="103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35814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26</xdr:row>
      <xdr:rowOff>0</xdr:rowOff>
    </xdr:from>
    <xdr:ext cx="9525" cy="9525"/>
    <xdr:pic>
      <xdr:nvPicPr>
        <xdr:cNvPr id="104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35814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27</xdr:row>
      <xdr:rowOff>0</xdr:rowOff>
    </xdr:from>
    <xdr:ext cx="9525" cy="9525"/>
    <xdr:pic>
      <xdr:nvPicPr>
        <xdr:cNvPr id="105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3781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106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3781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28</xdr:row>
      <xdr:rowOff>0</xdr:rowOff>
    </xdr:from>
    <xdr:ext cx="9525" cy="9525"/>
    <xdr:pic>
      <xdr:nvPicPr>
        <xdr:cNvPr id="107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39624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28</xdr:row>
      <xdr:rowOff>0</xdr:rowOff>
    </xdr:from>
    <xdr:ext cx="9525" cy="9525"/>
    <xdr:pic>
      <xdr:nvPicPr>
        <xdr:cNvPr id="108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39624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29</xdr:row>
      <xdr:rowOff>0</xdr:rowOff>
    </xdr:from>
    <xdr:ext cx="9525" cy="9525"/>
    <xdr:pic>
      <xdr:nvPicPr>
        <xdr:cNvPr id="109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35814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</xdr:row>
      <xdr:rowOff>0</xdr:rowOff>
    </xdr:from>
    <xdr:ext cx="9525" cy="9525"/>
    <xdr:pic>
      <xdr:nvPicPr>
        <xdr:cNvPr id="110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35814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30</xdr:row>
      <xdr:rowOff>0</xdr:rowOff>
    </xdr:from>
    <xdr:ext cx="9525" cy="9525"/>
    <xdr:pic>
      <xdr:nvPicPr>
        <xdr:cNvPr id="111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3781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30</xdr:row>
      <xdr:rowOff>0</xdr:rowOff>
    </xdr:from>
    <xdr:ext cx="9525" cy="9525"/>
    <xdr:pic>
      <xdr:nvPicPr>
        <xdr:cNvPr id="112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37814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31</xdr:row>
      <xdr:rowOff>0</xdr:rowOff>
    </xdr:from>
    <xdr:ext cx="9525" cy="9525"/>
    <xdr:pic>
      <xdr:nvPicPr>
        <xdr:cNvPr id="113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39624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31</xdr:row>
      <xdr:rowOff>0</xdr:rowOff>
    </xdr:from>
    <xdr:ext cx="9525" cy="9525"/>
    <xdr:pic>
      <xdr:nvPicPr>
        <xdr:cNvPr id="114" name="formulario:demonstrativoList:1:subTableLancamentos:1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3962400"/>
          <a:ext cx="9525" cy="952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10" name="Imagem 5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11" name="Imagem 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632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12" name="Imagem 3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811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9525</xdr:colOff>
      <xdr:row>34</xdr:row>
      <xdr:rowOff>9525</xdr:rowOff>
    </xdr:to>
    <xdr:pic>
      <xdr:nvPicPr>
        <xdr:cNvPr id="13" name="Imagem 2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890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9525</xdr:colOff>
      <xdr:row>37</xdr:row>
      <xdr:rowOff>9525</xdr:rowOff>
    </xdr:to>
    <xdr:pic>
      <xdr:nvPicPr>
        <xdr:cNvPr id="14" name="Imagem 1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948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" name="formulario:demonstrativoList:1:subTableLancamentos:8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98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9525</xdr:colOff>
      <xdr:row>16</xdr:row>
      <xdr:rowOff>9525</xdr:rowOff>
    </xdr:to>
    <xdr:pic>
      <xdr:nvPicPr>
        <xdr:cNvPr id="8" name="formulario:demonstrativoList:1:subTableLancamentos:16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396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9525</xdr:rowOff>
    </xdr:to>
    <xdr:pic>
      <xdr:nvPicPr>
        <xdr:cNvPr id="9" name="formulario:demonstrativoList:1:subTableLancamentos:24:j_id44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594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9525</xdr:rowOff>
    </xdr:to>
    <xdr:pic>
      <xdr:nvPicPr>
        <xdr:cNvPr id="2" name="formulario:demonstrativoList:1:subTableLancamentos:6:j_id56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42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9525</xdr:rowOff>
    </xdr:to>
    <xdr:pic>
      <xdr:nvPicPr>
        <xdr:cNvPr id="3" name="formulario:demonstrativoList:1:subTableLancamentos:6:j_id56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42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76</xdr:row>
      <xdr:rowOff>0</xdr:rowOff>
    </xdr:from>
    <xdr:ext cx="9525" cy="9525"/>
    <xdr:pic>
      <xdr:nvPicPr>
        <xdr:cNvPr id="4" name="formulario:demonstrativoList:1:subTableLancamentos:6:j_id56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1428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76</xdr:row>
      <xdr:rowOff>0</xdr:rowOff>
    </xdr:from>
    <xdr:ext cx="9525" cy="9525"/>
    <xdr:pic>
      <xdr:nvPicPr>
        <xdr:cNvPr id="5" name="formulario:demonstrativoList:1:subTableLancamentos:6:j_id56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1428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9525</xdr:rowOff>
    </xdr:to>
    <xdr:pic>
      <xdr:nvPicPr>
        <xdr:cNvPr id="6" name="formulario:demonstrativoList:1:subTableLancamentos:6:j_id56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4420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0</xdr:colOff>
      <xdr:row>76</xdr:row>
      <xdr:rowOff>0</xdr:rowOff>
    </xdr:from>
    <xdr:ext cx="9525" cy="9525"/>
    <xdr:pic>
      <xdr:nvPicPr>
        <xdr:cNvPr id="7" name="formulario:demonstrativoList:1:subTableLancamentos:6:j_id56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8618" y="1409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9525" cy="9525"/>
    <xdr:pic>
      <xdr:nvPicPr>
        <xdr:cNvPr id="8" name="formulario:demonstrativoList:1:subTableLancamentos:6:j_id56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8618" y="1409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76</xdr:row>
      <xdr:rowOff>0</xdr:rowOff>
    </xdr:from>
    <xdr:ext cx="9525" cy="9525"/>
    <xdr:pic>
      <xdr:nvPicPr>
        <xdr:cNvPr id="9" name="formulario:demonstrativoList:1:subTableLancamentos:6:j_id56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8618" y="14097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76</xdr:row>
      <xdr:rowOff>0</xdr:rowOff>
    </xdr:from>
    <xdr:ext cx="9525" cy="9525"/>
    <xdr:pic>
      <xdr:nvPicPr>
        <xdr:cNvPr id="10" name="formulario:demonstrativoList:1:subTableLancamentos:6:j_id56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8471" y="1428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76</xdr:row>
      <xdr:rowOff>0</xdr:rowOff>
    </xdr:from>
    <xdr:ext cx="9525" cy="9525"/>
    <xdr:pic>
      <xdr:nvPicPr>
        <xdr:cNvPr id="11" name="formulario:demonstrativoList:1:subTableLancamentos:6:j_id56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8471" y="1428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76</xdr:row>
      <xdr:rowOff>0</xdr:rowOff>
    </xdr:from>
    <xdr:ext cx="9525" cy="9525"/>
    <xdr:pic>
      <xdr:nvPicPr>
        <xdr:cNvPr id="12" name="formulario:demonstrativoList:1:subTableLancamentos:6:j_id56" descr="https://www42.bb.com.br/portalbb/daf/a4j/g/3_3_2.GA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8471" y="14287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COG/SUFIC/SUFIC-ARQUIVOS/DEMONSTRATIVO%20DAS%20TRANSFER&#202;NCIAS%20AOS%20MUNICIPIOS/2023/12%20-%20Dez23/Distribui&#231;&#227;o%20Mensal_12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COG/SUFIC/SUFIC-ARQUIVOS/DEMONSTRATIVO%20DAS%20TRANSFER&#202;NCIAS%20AOS%20MUNICIPIOS/2023/09%20-%20Set23/Distribui&#231;&#227;o%20Mensal_09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ção "/>
      <sheetName val="ICMS"/>
      <sheetName val="IPI"/>
      <sheetName val="IPI EXP"/>
      <sheetName val="ipi CONV"/>
      <sheetName val="IPVA"/>
      <sheetName val="ROYALTIES"/>
      <sheetName val="CIDE"/>
      <sheetName val="LC 194 + 201"/>
      <sheetName val="Estornos"/>
      <sheetName val="Conferência"/>
      <sheetName val="Balancete"/>
    </sheetNames>
    <sheetDataSet>
      <sheetData sheetId="0"/>
      <sheetData sheetId="1"/>
      <sheetData sheetId="2"/>
      <sheetData sheetId="3">
        <row r="28">
          <cell r="C28">
            <v>3054358.66</v>
          </cell>
        </row>
        <row r="29">
          <cell r="C29">
            <v>1018119.55</v>
          </cell>
        </row>
        <row r="30">
          <cell r="C30">
            <v>24434.86</v>
          </cell>
        </row>
        <row r="31">
          <cell r="C31">
            <v>8144.95</v>
          </cell>
        </row>
        <row r="32">
          <cell r="C32">
            <v>610871.73</v>
          </cell>
        </row>
        <row r="33">
          <cell r="C33">
            <v>203623.91</v>
          </cell>
        </row>
        <row r="34">
          <cell r="C34">
            <v>3225402.76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ação "/>
      <sheetName val="SECONT"/>
      <sheetName val="ICMS"/>
      <sheetName val="IPI"/>
      <sheetName val="IPI EXP"/>
      <sheetName val="IPVA"/>
      <sheetName val="ROYALTIES"/>
      <sheetName val="CIDE"/>
      <sheetName val="LC 194"/>
      <sheetName val="Estornos"/>
      <sheetName val="Balancete"/>
      <sheetName val="Conferência"/>
    </sheetNames>
    <sheetDataSet>
      <sheetData sheetId="0"/>
      <sheetData sheetId="1"/>
      <sheetData sheetId="2"/>
      <sheetData sheetId="3"/>
      <sheetData sheetId="4">
        <row r="28">
          <cell r="D28" t="str">
            <v>C</v>
          </cell>
        </row>
        <row r="29">
          <cell r="D29" t="str">
            <v>C</v>
          </cell>
        </row>
        <row r="30">
          <cell r="D30" t="str">
            <v>D</v>
          </cell>
        </row>
        <row r="31">
          <cell r="D31" t="str">
            <v>D</v>
          </cell>
        </row>
        <row r="32">
          <cell r="D32" t="str">
            <v>D</v>
          </cell>
        </row>
        <row r="33">
          <cell r="D33" t="str">
            <v>D</v>
          </cell>
        </row>
        <row r="34">
          <cell r="D34" t="str">
            <v>C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26"/>
  <sheetViews>
    <sheetView showGridLines="0" tabSelected="1" view="pageBreakPreview" zoomScale="80" zoomScaleNormal="100" zoomScaleSheetLayoutView="80" workbookViewId="0">
      <pane ySplit="10" topLeftCell="A92" activePane="bottomLeft" state="frozen"/>
      <selection activeCell="A9" sqref="A9"/>
      <selection pane="bottomLeft" activeCell="A6" sqref="A6:O6"/>
    </sheetView>
  </sheetViews>
  <sheetFormatPr defaultColWidth="9.140625" defaultRowHeight="15" customHeight="1"/>
  <cols>
    <col min="1" max="1" width="30.85546875" style="115" customWidth="1"/>
    <col min="2" max="2" width="9.7109375" style="126" customWidth="1"/>
    <col min="3" max="4" width="15.7109375" style="115" customWidth="1"/>
    <col min="5" max="5" width="13.7109375" style="115" hidden="1" customWidth="1"/>
    <col min="6" max="6" width="14.85546875" style="115" hidden="1" customWidth="1"/>
    <col min="7" max="7" width="13.7109375" style="115" hidden="1" customWidth="1"/>
    <col min="8" max="8" width="14.85546875" style="115" hidden="1" customWidth="1"/>
    <col min="9" max="12" width="15.7109375" style="115" customWidth="1"/>
    <col min="13" max="13" width="20.42578125" style="115" customWidth="1"/>
    <col min="14" max="15" width="15.7109375" style="115" customWidth="1"/>
    <col min="16" max="16" width="9.140625" style="115"/>
    <col min="17" max="17" width="15.7109375" style="115" customWidth="1"/>
    <col min="18" max="18" width="19.140625" style="115" customWidth="1"/>
    <col min="19" max="19" width="9.140625" style="115"/>
    <col min="20" max="20" width="12" style="115" bestFit="1" customWidth="1"/>
    <col min="21" max="16384" width="9.140625" style="115"/>
  </cols>
  <sheetData>
    <row r="1" spans="1:18" s="265" customFormat="1" ht="15" customHeight="1">
      <c r="A1" s="427" t="s">
        <v>632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</row>
    <row r="2" spans="1:18" ht="15" customHeight="1">
      <c r="A2" s="427" t="s">
        <v>116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Q2" s="435" t="s">
        <v>318</v>
      </c>
      <c r="R2" s="435"/>
    </row>
    <row r="3" spans="1:18" ht="15" customHeight="1">
      <c r="A3" s="427" t="s">
        <v>117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Q3" s="116">
        <f>C89-ICMS!J82</f>
        <v>0</v>
      </c>
      <c r="R3" s="118">
        <f>D89-ICMS!L82</f>
        <v>0</v>
      </c>
    </row>
    <row r="4" spans="1:18" ht="15" customHeight="1">
      <c r="A4" s="427" t="s">
        <v>118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Q4" s="116">
        <f>I89-IPI!C2</f>
        <v>0</v>
      </c>
      <c r="R4" s="118">
        <f>J89-IPI!D2</f>
        <v>0</v>
      </c>
    </row>
    <row r="5" spans="1:18" ht="15" customHeight="1">
      <c r="A5" s="427" t="s">
        <v>585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Q5" s="116">
        <f>K89-IPVA!J83</f>
        <v>0</v>
      </c>
      <c r="R5" s="118">
        <f>L89-IPVA!L83</f>
        <v>0</v>
      </c>
    </row>
    <row r="6" spans="1:18" s="265" customFormat="1" ht="21" customHeight="1">
      <c r="A6" s="428" t="s">
        <v>586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</row>
    <row r="7" spans="1:18" s="265" customFormat="1" ht="21" customHeight="1">
      <c r="A7" s="326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8"/>
    </row>
    <row r="8" spans="1:18" ht="15" customHeight="1">
      <c r="A8" s="429" t="s">
        <v>332</v>
      </c>
      <c r="B8" s="429"/>
      <c r="C8" s="429"/>
      <c r="D8" s="429"/>
      <c r="E8" s="429"/>
      <c r="F8" s="429"/>
      <c r="G8" s="429"/>
      <c r="H8" s="429"/>
      <c r="I8" s="429"/>
      <c r="J8" s="429"/>
      <c r="K8" s="117"/>
      <c r="L8" s="120"/>
      <c r="O8" s="305" t="s">
        <v>312</v>
      </c>
    </row>
    <row r="9" spans="1:18" s="121" customFormat="1" ht="22.5" customHeight="1">
      <c r="A9" s="423" t="s">
        <v>119</v>
      </c>
      <c r="B9" s="423" t="s">
        <v>514</v>
      </c>
      <c r="C9" s="431" t="s">
        <v>272</v>
      </c>
      <c r="D9" s="432"/>
      <c r="E9" s="431" t="s">
        <v>198</v>
      </c>
      <c r="F9" s="432"/>
      <c r="G9" s="431" t="s">
        <v>120</v>
      </c>
      <c r="H9" s="432"/>
      <c r="I9" s="431" t="s">
        <v>273</v>
      </c>
      <c r="J9" s="432"/>
      <c r="K9" s="431" t="s">
        <v>274</v>
      </c>
      <c r="L9" s="432"/>
      <c r="M9" s="423" t="s">
        <v>421</v>
      </c>
      <c r="N9" s="431" t="s">
        <v>383</v>
      </c>
      <c r="O9" s="432"/>
    </row>
    <row r="10" spans="1:18" s="121" customFormat="1" ht="15" customHeight="1">
      <c r="A10" s="433"/>
      <c r="B10" s="433"/>
      <c r="C10" s="122" t="s">
        <v>269</v>
      </c>
      <c r="D10" s="123" t="s">
        <v>270</v>
      </c>
      <c r="E10" s="123" t="s">
        <v>269</v>
      </c>
      <c r="F10" s="123" t="s">
        <v>270</v>
      </c>
      <c r="G10" s="122" t="s">
        <v>269</v>
      </c>
      <c r="H10" s="122" t="s">
        <v>270</v>
      </c>
      <c r="I10" s="123" t="s">
        <v>269</v>
      </c>
      <c r="J10" s="123" t="s">
        <v>270</v>
      </c>
      <c r="K10" s="123" t="s">
        <v>269</v>
      </c>
      <c r="L10" s="123" t="s">
        <v>270</v>
      </c>
      <c r="M10" s="424"/>
      <c r="N10" s="294" t="s">
        <v>269</v>
      </c>
      <c r="O10" s="294" t="s">
        <v>270</v>
      </c>
    </row>
    <row r="11" spans="1:18" ht="15" customHeight="1">
      <c r="A11" s="151" t="s">
        <v>121</v>
      </c>
      <c r="B11" s="327">
        <v>0.73199999999999998</v>
      </c>
      <c r="C11" s="212">
        <f>ICMS!J4</f>
        <v>2728294.06</v>
      </c>
      <c r="D11" s="212">
        <f>ICMS!L4</f>
        <v>2182635.25</v>
      </c>
      <c r="E11" s="212" t="e">
        <f>#REF!</f>
        <v>#REF!</v>
      </c>
      <c r="F11" s="213" t="e">
        <f>#REF!</f>
        <v>#REF!</v>
      </c>
      <c r="G11" s="214" t="e">
        <f t="shared" ref="G11:G42" si="0">C11+E11</f>
        <v>#REF!</v>
      </c>
      <c r="H11" s="215" t="e">
        <f t="shared" ref="H11:H42" si="1">D11+F11</f>
        <v>#REF!</v>
      </c>
      <c r="I11" s="212">
        <f>IPI!C3</f>
        <v>32262.4951568</v>
      </c>
      <c r="J11" s="212">
        <f>IPI!D3</f>
        <v>24578.17</v>
      </c>
      <c r="K11" s="212">
        <f>IPVA!J4</f>
        <v>121737.16</v>
      </c>
      <c r="L11" s="213">
        <f>IPVA!L4</f>
        <v>97389.78</v>
      </c>
      <c r="M11" s="418">
        <f>CIDE!B3</f>
        <v>0</v>
      </c>
      <c r="N11" s="418">
        <f>'LC 194 + 201'!B4</f>
        <v>0</v>
      </c>
      <c r="O11" s="418">
        <f>'LC 194 + 201'!D4</f>
        <v>0</v>
      </c>
    </row>
    <row r="12" spans="1:18" ht="15" customHeight="1">
      <c r="A12" s="151" t="s">
        <v>122</v>
      </c>
      <c r="B12" s="146">
        <v>0.28199999999999997</v>
      </c>
      <c r="C12" s="216">
        <f>ICMS!J5</f>
        <v>1051064.0899999999</v>
      </c>
      <c r="D12" s="216">
        <f>ICMS!L5</f>
        <v>840851.29999999981</v>
      </c>
      <c r="E12" s="216" t="e">
        <f>#REF!</f>
        <v>#REF!</v>
      </c>
      <c r="F12" s="217" t="e">
        <f>#REF!</f>
        <v>#REF!</v>
      </c>
      <c r="G12" s="218" t="e">
        <f t="shared" si="0"/>
        <v>#REF!</v>
      </c>
      <c r="H12" s="219" t="e">
        <f t="shared" si="1"/>
        <v>#REF!</v>
      </c>
      <c r="I12" s="216">
        <f>IPI!C4</f>
        <v>12252.117083199999</v>
      </c>
      <c r="J12" s="216">
        <f>IPI!D4</f>
        <v>9468.64</v>
      </c>
      <c r="K12" s="216">
        <f>IPVA!J5</f>
        <v>34830.22</v>
      </c>
      <c r="L12" s="217">
        <f>IPVA!L5</f>
        <v>27864.270000000004</v>
      </c>
      <c r="M12" s="418">
        <f>CIDE!B4</f>
        <v>0</v>
      </c>
      <c r="N12" s="418">
        <f>'LC 194 + 201'!B5</f>
        <v>0</v>
      </c>
      <c r="O12" s="418">
        <f>'LC 194 + 201'!D5</f>
        <v>0</v>
      </c>
    </row>
    <row r="13" spans="1:18" ht="15" customHeight="1">
      <c r="A13" s="151" t="s">
        <v>123</v>
      </c>
      <c r="B13" s="146">
        <v>0.46</v>
      </c>
      <c r="C13" s="216">
        <f>ICMS!J6</f>
        <v>1714501.7300000002</v>
      </c>
      <c r="D13" s="216">
        <f>ICMS!L6</f>
        <v>1371601.3600000003</v>
      </c>
      <c r="E13" s="216" t="e">
        <f>#REF!</f>
        <v>#REF!</v>
      </c>
      <c r="F13" s="217" t="e">
        <f>#REF!</f>
        <v>#REF!</v>
      </c>
      <c r="G13" s="218" t="e">
        <f t="shared" si="0"/>
        <v>#REF!</v>
      </c>
      <c r="H13" s="219" t="e">
        <f t="shared" si="1"/>
        <v>#REF!</v>
      </c>
      <c r="I13" s="216">
        <f>IPI!C5</f>
        <v>17127.526995200002</v>
      </c>
      <c r="J13" s="216">
        <f>IPI!D5</f>
        <v>15445.29</v>
      </c>
      <c r="K13" s="216">
        <f>IPVA!J6</f>
        <v>35013.42</v>
      </c>
      <c r="L13" s="217">
        <f>IPVA!L6</f>
        <v>28010.82</v>
      </c>
      <c r="M13" s="418">
        <f>CIDE!B5</f>
        <v>0</v>
      </c>
      <c r="N13" s="418">
        <f>'LC 194 + 201'!B6</f>
        <v>0</v>
      </c>
      <c r="O13" s="418">
        <f>'LC 194 + 201'!D6</f>
        <v>0</v>
      </c>
    </row>
    <row r="14" spans="1:18" ht="15" customHeight="1">
      <c r="A14" s="151" t="s">
        <v>124</v>
      </c>
      <c r="B14" s="146">
        <v>0.46800000000000003</v>
      </c>
      <c r="C14" s="216">
        <f>ICMS!J7</f>
        <v>1744319.1299999997</v>
      </c>
      <c r="D14" s="216">
        <f>ICMS!L7</f>
        <v>1395455.2999999996</v>
      </c>
      <c r="E14" s="216" t="e">
        <f>#REF!</f>
        <v>#REF!</v>
      </c>
      <c r="F14" s="217" t="e">
        <f>#REF!</f>
        <v>#REF!</v>
      </c>
      <c r="G14" s="218" t="e">
        <f t="shared" si="0"/>
        <v>#REF!</v>
      </c>
      <c r="H14" s="219" t="e">
        <f t="shared" si="1"/>
        <v>#REF!</v>
      </c>
      <c r="I14" s="216">
        <f>IPI!C6</f>
        <v>21112.644662399998</v>
      </c>
      <c r="J14" s="216">
        <f>IPI!D6</f>
        <v>15713.91</v>
      </c>
      <c r="K14" s="216">
        <f>IPVA!J7</f>
        <v>101538.29</v>
      </c>
      <c r="L14" s="217">
        <f>IPVA!L7</f>
        <v>81230.709999999992</v>
      </c>
      <c r="M14" s="418">
        <f>CIDE!B6</f>
        <v>0</v>
      </c>
      <c r="N14" s="418">
        <f>'LC 194 + 201'!B7</f>
        <v>0</v>
      </c>
      <c r="O14" s="418">
        <f>'LC 194 + 201'!D7</f>
        <v>0</v>
      </c>
    </row>
    <row r="15" spans="1:18" ht="15" customHeight="1">
      <c r="A15" s="151" t="s">
        <v>125</v>
      </c>
      <c r="B15" s="146">
        <v>0.45800000000000002</v>
      </c>
      <c r="C15" s="216">
        <f>ICMS!J8</f>
        <v>1707047.3800000001</v>
      </c>
      <c r="D15" s="216">
        <f>ICMS!L8</f>
        <v>1365637.8800000001</v>
      </c>
      <c r="E15" s="216" t="e">
        <f>#REF!</f>
        <v>#REF!</v>
      </c>
      <c r="F15" s="217" t="e">
        <f>#REF!</f>
        <v>#REF!</v>
      </c>
      <c r="G15" s="218" t="e">
        <f t="shared" si="0"/>
        <v>#REF!</v>
      </c>
      <c r="H15" s="219" t="e">
        <f t="shared" si="1"/>
        <v>#REF!</v>
      </c>
      <c r="I15" s="216">
        <f>IPI!C7</f>
        <v>19798.403729600002</v>
      </c>
      <c r="J15" s="216">
        <f>IPI!D7</f>
        <v>15378.150000000001</v>
      </c>
      <c r="K15" s="216">
        <f>IPVA!J8</f>
        <v>112329.37</v>
      </c>
      <c r="L15" s="217">
        <f>IPVA!L8</f>
        <v>89863.569999999992</v>
      </c>
      <c r="M15" s="418">
        <f>CIDE!B7</f>
        <v>0</v>
      </c>
      <c r="N15" s="418">
        <f>'LC 194 + 201'!B8</f>
        <v>0</v>
      </c>
      <c r="O15" s="418">
        <f>'LC 194 + 201'!D8</f>
        <v>0</v>
      </c>
    </row>
    <row r="16" spans="1:18" ht="15" customHeight="1">
      <c r="A16" s="151" t="s">
        <v>126</v>
      </c>
      <c r="B16" s="146">
        <v>0.23</v>
      </c>
      <c r="C16" s="216">
        <f>ICMS!J9</f>
        <v>857250.86</v>
      </c>
      <c r="D16" s="216">
        <f>ICMS!L9</f>
        <v>685800.69</v>
      </c>
      <c r="E16" s="216" t="e">
        <f>#REF!</f>
        <v>#REF!</v>
      </c>
      <c r="F16" s="217" t="e">
        <f>#REF!</f>
        <v>#REF!</v>
      </c>
      <c r="G16" s="218" t="e">
        <f t="shared" si="0"/>
        <v>#REF!</v>
      </c>
      <c r="H16" s="219" t="e">
        <f t="shared" si="1"/>
        <v>#REF!</v>
      </c>
      <c r="I16" s="216">
        <f>IPI!C8</f>
        <v>9581.2403488</v>
      </c>
      <c r="J16" s="216">
        <f>IPI!D8</f>
        <v>7722.6400000000012</v>
      </c>
      <c r="K16" s="216">
        <f>IPVA!J9</f>
        <v>13306.850000000002</v>
      </c>
      <c r="L16" s="217">
        <f>IPVA!L9</f>
        <v>10645.550000000003</v>
      </c>
      <c r="M16" s="418">
        <f>CIDE!B8</f>
        <v>0</v>
      </c>
      <c r="N16" s="418">
        <f>'LC 194 + 201'!B9</f>
        <v>0</v>
      </c>
      <c r="O16" s="418">
        <f>'LC 194 + 201'!D9</f>
        <v>0</v>
      </c>
    </row>
    <row r="17" spans="1:29" ht="15" customHeight="1">
      <c r="A17" s="151" t="s">
        <v>127</v>
      </c>
      <c r="B17" s="146">
        <v>4.2549999999999999</v>
      </c>
      <c r="C17" s="216">
        <f>ICMS!J10</f>
        <v>15859140.990000004</v>
      </c>
      <c r="D17" s="216">
        <f>ICMS!L10</f>
        <v>12687312.820000004</v>
      </c>
      <c r="E17" s="216" t="e">
        <f>#REF!</f>
        <v>#REF!</v>
      </c>
      <c r="F17" s="217" t="e">
        <f>#REF!</f>
        <v>#REF!</v>
      </c>
      <c r="G17" s="218" t="e">
        <f t="shared" si="0"/>
        <v>#REF!</v>
      </c>
      <c r="H17" s="219" t="e">
        <f t="shared" si="1"/>
        <v>#REF!</v>
      </c>
      <c r="I17" s="216">
        <f>IPI!C9</f>
        <v>133459.0469824</v>
      </c>
      <c r="J17" s="216">
        <f>IPI!D9</f>
        <v>142869.01999999999</v>
      </c>
      <c r="K17" s="216">
        <f>IPVA!J10</f>
        <v>195099.21000000002</v>
      </c>
      <c r="L17" s="217">
        <f>IPVA!L10</f>
        <v>156079.46000000002</v>
      </c>
      <c r="M17" s="418">
        <f>CIDE!B9</f>
        <v>0</v>
      </c>
      <c r="N17" s="418">
        <f>'LC 194 + 201'!B10</f>
        <v>0</v>
      </c>
      <c r="O17" s="418">
        <f>'LC 194 + 201'!D10</f>
        <v>0</v>
      </c>
      <c r="P17" s="421"/>
      <c r="Q17" s="421"/>
      <c r="R17" s="421"/>
      <c r="S17" s="421"/>
      <c r="AC17" s="421"/>
    </row>
    <row r="18" spans="1:29" ht="15" customHeight="1">
      <c r="A18" s="151" t="s">
        <v>128</v>
      </c>
      <c r="B18" s="146">
        <v>0.188</v>
      </c>
      <c r="C18" s="216">
        <f>ICMS!J11</f>
        <v>700709.4</v>
      </c>
      <c r="D18" s="216">
        <f>ICMS!L11</f>
        <v>560567.54</v>
      </c>
      <c r="E18" s="216" t="e">
        <f>#REF!</f>
        <v>#REF!</v>
      </c>
      <c r="F18" s="217" t="e">
        <f>#REF!</f>
        <v>#REF!</v>
      </c>
      <c r="G18" s="218" t="e">
        <f t="shared" si="0"/>
        <v>#REF!</v>
      </c>
      <c r="H18" s="219" t="e">
        <f t="shared" si="1"/>
        <v>#REF!</v>
      </c>
      <c r="I18" s="216">
        <f>IPI!C10</f>
        <v>7843.0507280000002</v>
      </c>
      <c r="J18" s="216">
        <f>IPI!D10</f>
        <v>6312.43</v>
      </c>
      <c r="K18" s="216">
        <f>IPVA!J11</f>
        <v>67152.399999999994</v>
      </c>
      <c r="L18" s="217">
        <f>IPVA!L11</f>
        <v>53721.999999999993</v>
      </c>
      <c r="M18" s="418">
        <f>CIDE!B10</f>
        <v>0</v>
      </c>
      <c r="N18" s="418">
        <f>'LC 194 + 201'!B11</f>
        <v>0</v>
      </c>
      <c r="O18" s="418">
        <f>'LC 194 + 201'!D11</f>
        <v>0</v>
      </c>
    </row>
    <row r="19" spans="1:29" ht="15" customHeight="1">
      <c r="A19" s="151" t="s">
        <v>129</v>
      </c>
      <c r="B19" s="146">
        <v>3.7869999999999999</v>
      </c>
      <c r="C19" s="216">
        <f>ICMS!J12</f>
        <v>14114821.800000001</v>
      </c>
      <c r="D19" s="216">
        <f>ICMS!L12</f>
        <v>11291857.430000002</v>
      </c>
      <c r="E19" s="216" t="e">
        <f>#REF!</f>
        <v>#REF!</v>
      </c>
      <c r="F19" s="217" t="e">
        <f>#REF!</f>
        <v>#REF!</v>
      </c>
      <c r="G19" s="218" t="e">
        <f t="shared" si="0"/>
        <v>#REF!</v>
      </c>
      <c r="H19" s="219" t="e">
        <f t="shared" si="1"/>
        <v>#REF!</v>
      </c>
      <c r="I19" s="216">
        <f>IPI!C11</f>
        <v>123877.8066336</v>
      </c>
      <c r="J19" s="216">
        <f>IPI!D11</f>
        <v>127155.1</v>
      </c>
      <c r="K19" s="216">
        <f>IPVA!J12</f>
        <v>494808.49999999988</v>
      </c>
      <c r="L19" s="217">
        <f>IPVA!L12</f>
        <v>395846.87999999989</v>
      </c>
      <c r="M19" s="418">
        <f>CIDE!B11</f>
        <v>0</v>
      </c>
      <c r="N19" s="418">
        <f>'LC 194 + 201'!B12</f>
        <v>0</v>
      </c>
      <c r="O19" s="418">
        <f>'LC 194 + 201'!D12</f>
        <v>0</v>
      </c>
    </row>
    <row r="20" spans="1:29" ht="15" customHeight="1">
      <c r="A20" s="151" t="s">
        <v>130</v>
      </c>
      <c r="B20" s="146">
        <v>0.32400000000000001</v>
      </c>
      <c r="C20" s="216">
        <f>ICMS!J13</f>
        <v>1207605.57</v>
      </c>
      <c r="D20" s="216">
        <f>ICMS!L13</f>
        <v>966084.46000000008</v>
      </c>
      <c r="E20" s="216" t="e">
        <f>#REF!</f>
        <v>#REF!</v>
      </c>
      <c r="F20" s="217" t="e">
        <f>#REF!</f>
        <v>#REF!</v>
      </c>
      <c r="G20" s="218" t="e">
        <f t="shared" si="0"/>
        <v>#REF!</v>
      </c>
      <c r="H20" s="219" t="e">
        <f t="shared" si="1"/>
        <v>#REF!</v>
      </c>
      <c r="I20" s="216">
        <f>IPI!C12</f>
        <v>15007.783555199998</v>
      </c>
      <c r="J20" s="216">
        <f>IPI!D12</f>
        <v>10878.859999999999</v>
      </c>
      <c r="K20" s="216">
        <f>IPVA!J13</f>
        <v>29112.629999999997</v>
      </c>
      <c r="L20" s="217">
        <f>IPVA!L13</f>
        <v>23290.179999999997</v>
      </c>
      <c r="M20" s="418">
        <f>CIDE!B12</f>
        <v>0</v>
      </c>
      <c r="N20" s="418">
        <f>'LC 194 + 201'!B13</f>
        <v>0</v>
      </c>
      <c r="O20" s="418">
        <f>'LC 194 + 201'!D13</f>
        <v>0</v>
      </c>
    </row>
    <row r="21" spans="1:29" ht="15" customHeight="1">
      <c r="A21" s="151" t="s">
        <v>131</v>
      </c>
      <c r="B21" s="146">
        <v>0.59299999999999997</v>
      </c>
      <c r="C21" s="216">
        <f>ICMS!J14</f>
        <v>2210216.34</v>
      </c>
      <c r="D21" s="216">
        <f>ICMS!L14</f>
        <v>1768173.0699999998</v>
      </c>
      <c r="E21" s="216" t="e">
        <f>#REF!</f>
        <v>#REF!</v>
      </c>
      <c r="F21" s="217" t="e">
        <f>#REF!</f>
        <v>#REF!</v>
      </c>
      <c r="G21" s="218" t="e">
        <f t="shared" si="0"/>
        <v>#REF!</v>
      </c>
      <c r="H21" s="219" t="e">
        <f t="shared" si="1"/>
        <v>#REF!</v>
      </c>
      <c r="I21" s="216">
        <f>IPI!C13</f>
        <v>25733.685361599997</v>
      </c>
      <c r="J21" s="216">
        <f>IPI!D13</f>
        <v>19911.010000000002</v>
      </c>
      <c r="K21" s="216">
        <f>IPVA!J14</f>
        <v>266303.78999999998</v>
      </c>
      <c r="L21" s="217">
        <f>IPVA!L14</f>
        <v>213043.11</v>
      </c>
      <c r="M21" s="418">
        <f>CIDE!B13</f>
        <v>0</v>
      </c>
      <c r="N21" s="418">
        <f>'LC 194 + 201'!B14</f>
        <v>0</v>
      </c>
      <c r="O21" s="418">
        <f>'LC 194 + 201'!D14</f>
        <v>0</v>
      </c>
    </row>
    <row r="22" spans="1:29" ht="15" customHeight="1">
      <c r="A22" s="151" t="s">
        <v>132</v>
      </c>
      <c r="B22" s="146">
        <v>0.88400000000000001</v>
      </c>
      <c r="C22" s="216">
        <f>ICMS!J15</f>
        <v>3294825.0500000003</v>
      </c>
      <c r="D22" s="216">
        <f>ICMS!L15</f>
        <v>2635860.04</v>
      </c>
      <c r="E22" s="216" t="e">
        <f>#REF!</f>
        <v>#REF!</v>
      </c>
      <c r="F22" s="217" t="e">
        <f>#REF!</f>
        <v>#REF!</v>
      </c>
      <c r="G22" s="218" t="e">
        <f t="shared" si="0"/>
        <v>#REF!</v>
      </c>
      <c r="H22" s="219" t="e">
        <f t="shared" si="1"/>
        <v>#REF!</v>
      </c>
      <c r="I22" s="216">
        <f>IPI!C14</f>
        <v>43624.319995199992</v>
      </c>
      <c r="J22" s="216">
        <f>IPI!D14</f>
        <v>29681.83</v>
      </c>
      <c r="K22" s="216">
        <f>IPVA!J15</f>
        <v>250240.09999999998</v>
      </c>
      <c r="L22" s="217">
        <f>IPVA!L15</f>
        <v>200192.13999999998</v>
      </c>
      <c r="M22" s="418">
        <f>CIDE!B14</f>
        <v>0</v>
      </c>
      <c r="N22" s="418">
        <f>'LC 194 + 201'!B15</f>
        <v>0</v>
      </c>
      <c r="O22" s="418">
        <f>'LC 194 + 201'!D15</f>
        <v>0</v>
      </c>
    </row>
    <row r="23" spans="1:29" ht="15" customHeight="1">
      <c r="A23" s="151" t="s">
        <v>133</v>
      </c>
      <c r="B23" s="146">
        <v>0.41899999999999998</v>
      </c>
      <c r="C23" s="216">
        <f>ICMS!J16</f>
        <v>1561687.4500000002</v>
      </c>
      <c r="D23" s="216">
        <f>ICMS!L16</f>
        <v>1249349.9800000002</v>
      </c>
      <c r="E23" s="216" t="e">
        <f>#REF!</f>
        <v>#REF!</v>
      </c>
      <c r="F23" s="217" t="e">
        <f>#REF!</f>
        <v>#REF!</v>
      </c>
      <c r="G23" s="218" t="e">
        <f t="shared" si="0"/>
        <v>#REF!</v>
      </c>
      <c r="H23" s="219" t="e">
        <f t="shared" si="1"/>
        <v>#REF!</v>
      </c>
      <c r="I23" s="216">
        <f>IPI!C15</f>
        <v>16745.973176</v>
      </c>
      <c r="J23" s="216">
        <f>IPI!D15</f>
        <v>14068.66</v>
      </c>
      <c r="K23" s="216">
        <f>IPVA!J16</f>
        <v>60460.560000000012</v>
      </c>
      <c r="L23" s="217">
        <f>IPVA!L16</f>
        <v>48368.520000000011</v>
      </c>
      <c r="M23" s="418">
        <f>CIDE!B15</f>
        <v>0</v>
      </c>
      <c r="N23" s="418">
        <f>'LC 194 + 201'!B16</f>
        <v>0</v>
      </c>
      <c r="O23" s="418">
        <f>'LC 194 + 201'!D16</f>
        <v>0</v>
      </c>
    </row>
    <row r="24" spans="1:29" ht="15" customHeight="1">
      <c r="A24" s="151" t="s">
        <v>134</v>
      </c>
      <c r="B24" s="146">
        <v>0.16700000000000001</v>
      </c>
      <c r="C24" s="216">
        <f>ICMS!J17</f>
        <v>622438.70000000007</v>
      </c>
      <c r="D24" s="216">
        <f>ICMS!L17</f>
        <v>497950.96000000008</v>
      </c>
      <c r="E24" s="216" t="e">
        <f>#REF!</f>
        <v>#REF!</v>
      </c>
      <c r="F24" s="217" t="e">
        <f>#REF!</f>
        <v>#REF!</v>
      </c>
      <c r="G24" s="218" t="e">
        <f t="shared" si="0"/>
        <v>#REF!</v>
      </c>
      <c r="H24" s="219" t="e">
        <f t="shared" si="1"/>
        <v>#REF!</v>
      </c>
      <c r="I24" s="216">
        <f>IPI!C16</f>
        <v>7461.4969087999989</v>
      </c>
      <c r="J24" s="216">
        <f>IPI!D16</f>
        <v>5607.32</v>
      </c>
      <c r="K24" s="216">
        <f>IPVA!J17</f>
        <v>284325.94999999995</v>
      </c>
      <c r="L24" s="217">
        <f>IPVA!L17</f>
        <v>227460.84999999998</v>
      </c>
      <c r="M24" s="418">
        <f>CIDE!B16</f>
        <v>0</v>
      </c>
      <c r="N24" s="418">
        <f>'LC 194 + 201'!B17</f>
        <v>0</v>
      </c>
      <c r="O24" s="418">
        <f>'LC 194 + 201'!D17</f>
        <v>0</v>
      </c>
    </row>
    <row r="25" spans="1:29" ht="15" customHeight="1">
      <c r="A25" s="151" t="s">
        <v>135</v>
      </c>
      <c r="B25" s="146">
        <v>0.41599999999999998</v>
      </c>
      <c r="C25" s="216">
        <f>ICMS!J18</f>
        <v>1550505.9299999997</v>
      </c>
      <c r="D25" s="216">
        <f>ICMS!L18</f>
        <v>1240404.7399999998</v>
      </c>
      <c r="E25" s="216" t="e">
        <f>#REF!</f>
        <v>#REF!</v>
      </c>
      <c r="F25" s="217" t="e">
        <f>#REF!</f>
        <v>#REF!</v>
      </c>
      <c r="G25" s="218" t="e">
        <f t="shared" si="0"/>
        <v>#REF!</v>
      </c>
      <c r="H25" s="219" t="e">
        <f t="shared" si="1"/>
        <v>#REF!</v>
      </c>
      <c r="I25" s="216">
        <f>IPI!C17</f>
        <v>17848.239764800001</v>
      </c>
      <c r="J25" s="216">
        <f>IPI!D17</f>
        <v>13967.92</v>
      </c>
      <c r="K25" s="216">
        <f>IPVA!J18</f>
        <v>45281.959999999992</v>
      </c>
      <c r="L25" s="217">
        <f>IPVA!L18</f>
        <v>36225.639999999992</v>
      </c>
      <c r="M25" s="418">
        <f>CIDE!B17</f>
        <v>0</v>
      </c>
      <c r="N25" s="418">
        <f>'LC 194 + 201'!B18</f>
        <v>0</v>
      </c>
      <c r="O25" s="418">
        <f>'LC 194 + 201'!D18</f>
        <v>0</v>
      </c>
    </row>
    <row r="26" spans="1:29" ht="15" customHeight="1">
      <c r="A26" s="151" t="s">
        <v>136</v>
      </c>
      <c r="B26" s="146">
        <v>2.7570000000000001</v>
      </c>
      <c r="C26" s="216">
        <f>ICMS!J19</f>
        <v>10275828.829999998</v>
      </c>
      <c r="D26" s="216">
        <f>ICMS!L19</f>
        <v>8220663.0799999982</v>
      </c>
      <c r="E26" s="216" t="e">
        <f>#REF!</f>
        <v>#REF!</v>
      </c>
      <c r="F26" s="217" t="e">
        <f>#REF!</f>
        <v>#REF!</v>
      </c>
      <c r="G26" s="218" t="e">
        <f t="shared" si="0"/>
        <v>#REF!</v>
      </c>
      <c r="H26" s="219" t="e">
        <f t="shared" si="1"/>
        <v>#REF!</v>
      </c>
      <c r="I26" s="216">
        <f>IPI!C18</f>
        <v>131932.83170559999</v>
      </c>
      <c r="J26" s="216">
        <f>IPI!D18</f>
        <v>92571.06</v>
      </c>
      <c r="K26" s="216">
        <f>IPVA!J19</f>
        <v>1283609.1000000001</v>
      </c>
      <c r="L26" s="217">
        <f>IPVA!L19</f>
        <v>1026887.3800000001</v>
      </c>
      <c r="M26" s="418">
        <f>CIDE!B18</f>
        <v>0</v>
      </c>
      <c r="N26" s="418">
        <f>'LC 194 + 201'!B19</f>
        <v>0</v>
      </c>
      <c r="O26" s="418">
        <f>'LC 194 + 201'!D19</f>
        <v>0</v>
      </c>
    </row>
    <row r="27" spans="1:29" ht="15" customHeight="1">
      <c r="A27" s="151" t="s">
        <v>137</v>
      </c>
      <c r="B27" s="146">
        <v>7.1219999999999999</v>
      </c>
      <c r="C27" s="216">
        <f>ICMS!J20</f>
        <v>26544959.339999996</v>
      </c>
      <c r="D27" s="216">
        <f>ICMS!L20</f>
        <v>21235967.479999997</v>
      </c>
      <c r="E27" s="216" t="e">
        <f>#REF!</f>
        <v>#REF!</v>
      </c>
      <c r="F27" s="217" t="e">
        <f>#REF!</f>
        <v>#REF!</v>
      </c>
      <c r="G27" s="218" t="e">
        <f t="shared" si="0"/>
        <v>#REF!</v>
      </c>
      <c r="H27" s="219" t="e">
        <f t="shared" si="1"/>
        <v>#REF!</v>
      </c>
      <c r="I27" s="216">
        <f>IPI!C19</f>
        <v>309440.14737119997</v>
      </c>
      <c r="J27" s="216">
        <f>IPI!D19</f>
        <v>239133.51</v>
      </c>
      <c r="K27" s="216">
        <f>IPVA!J20</f>
        <v>3679060.4400000004</v>
      </c>
      <c r="L27" s="217">
        <f>IPVA!L20</f>
        <v>2943248.4400000004</v>
      </c>
      <c r="M27" s="418">
        <f>CIDE!B19</f>
        <v>0</v>
      </c>
      <c r="N27" s="418">
        <f>'LC 194 + 201'!B20</f>
        <v>0</v>
      </c>
      <c r="O27" s="418">
        <f>'LC 194 + 201'!D20</f>
        <v>0</v>
      </c>
    </row>
    <row r="28" spans="1:29" ht="15" customHeight="1">
      <c r="A28" s="151" t="s">
        <v>138</v>
      </c>
      <c r="B28" s="146">
        <v>0.82899999999999996</v>
      </c>
      <c r="C28" s="216">
        <f>ICMS!J21</f>
        <v>3089830.29</v>
      </c>
      <c r="D28" s="216">
        <f>ICMS!L21</f>
        <v>2471864.2400000002</v>
      </c>
      <c r="E28" s="216" t="e">
        <f>#REF!</f>
        <v>#REF!</v>
      </c>
      <c r="F28" s="217" t="e">
        <f>#REF!</f>
        <v>#REF!</v>
      </c>
      <c r="G28" s="218" t="e">
        <f t="shared" si="0"/>
        <v>#REF!</v>
      </c>
      <c r="H28" s="219" t="e">
        <f t="shared" si="1"/>
        <v>#REF!</v>
      </c>
      <c r="I28" s="216">
        <f>IPI!C20</f>
        <v>38112.987051199998</v>
      </c>
      <c r="J28" s="216">
        <f>IPI!D20</f>
        <v>27835.11</v>
      </c>
      <c r="K28" s="216">
        <f>IPVA!J21</f>
        <v>350754.81</v>
      </c>
      <c r="L28" s="217">
        <f>IPVA!L21</f>
        <v>280603.93</v>
      </c>
      <c r="M28" s="418">
        <f>CIDE!B20</f>
        <v>0</v>
      </c>
      <c r="N28" s="418">
        <f>'LC 194 + 201'!B21</f>
        <v>0</v>
      </c>
      <c r="O28" s="418">
        <f>'LC 194 + 201'!D21</f>
        <v>0</v>
      </c>
    </row>
    <row r="29" spans="1:29" ht="15" customHeight="1">
      <c r="A29" s="151" t="s">
        <v>139</v>
      </c>
      <c r="B29" s="146">
        <v>2.141</v>
      </c>
      <c r="C29" s="216">
        <f>ICMS!J22</f>
        <v>7979887.3900000015</v>
      </c>
      <c r="D29" s="216">
        <f>ICMS!L22</f>
        <v>6383909.9200000018</v>
      </c>
      <c r="E29" s="216" t="e">
        <f>#REF!</f>
        <v>#REF!</v>
      </c>
      <c r="F29" s="217" t="e">
        <f>#REF!</f>
        <v>#REF!</v>
      </c>
      <c r="G29" s="218" t="e">
        <f t="shared" si="0"/>
        <v>#REF!</v>
      </c>
      <c r="H29" s="219" t="e">
        <f t="shared" si="1"/>
        <v>#REF!</v>
      </c>
      <c r="I29" s="216">
        <f>IPI!C21</f>
        <v>94625.347161600017</v>
      </c>
      <c r="J29" s="216">
        <f>IPI!D21</f>
        <v>71887.790000000008</v>
      </c>
      <c r="K29" s="216">
        <f>IPVA!J22</f>
        <v>736323.91999999981</v>
      </c>
      <c r="L29" s="217">
        <f>IPVA!L22</f>
        <v>589059.20999999973</v>
      </c>
      <c r="M29" s="418">
        <f>CIDE!B21</f>
        <v>0</v>
      </c>
      <c r="N29" s="418">
        <f>'LC 194 + 201'!B22</f>
        <v>0</v>
      </c>
      <c r="O29" s="418">
        <f>'LC 194 + 201'!D22</f>
        <v>0</v>
      </c>
      <c r="V29" s="173"/>
    </row>
    <row r="30" spans="1:29" ht="15" customHeight="1">
      <c r="A30" s="151" t="s">
        <v>140</v>
      </c>
      <c r="B30" s="146">
        <v>0.76100000000000001</v>
      </c>
      <c r="C30" s="216">
        <f>ICMS!J23</f>
        <v>2836382.2</v>
      </c>
      <c r="D30" s="216">
        <f>ICMS!L23</f>
        <v>2269105.7600000002</v>
      </c>
      <c r="E30" s="216" t="e">
        <f>#REF!</f>
        <v>#REF!</v>
      </c>
      <c r="F30" s="217" t="e">
        <f>#REF!</f>
        <v>#REF!</v>
      </c>
      <c r="G30" s="218" t="e">
        <f t="shared" si="0"/>
        <v>#REF!</v>
      </c>
      <c r="H30" s="219" t="e">
        <f t="shared" si="1"/>
        <v>#REF!</v>
      </c>
      <c r="I30" s="216">
        <f>IPI!C22</f>
        <v>33661.525827200006</v>
      </c>
      <c r="J30" s="216">
        <f>IPI!D22</f>
        <v>25551.9</v>
      </c>
      <c r="K30" s="216">
        <f>IPVA!J23</f>
        <v>86884.6</v>
      </c>
      <c r="L30" s="217">
        <f>IPVA!L23</f>
        <v>69507.78</v>
      </c>
      <c r="M30" s="418">
        <f>CIDE!B22</f>
        <v>0</v>
      </c>
      <c r="N30" s="418">
        <f>'LC 194 + 201'!B23</f>
        <v>0</v>
      </c>
      <c r="O30" s="418">
        <f>'LC 194 + 201'!D23</f>
        <v>0</v>
      </c>
    </row>
    <row r="31" spans="1:29" ht="15" customHeight="1">
      <c r="A31" s="151" t="s">
        <v>141</v>
      </c>
      <c r="B31" s="146">
        <v>0.40500000000000003</v>
      </c>
      <c r="C31" s="216">
        <f>ICMS!J24</f>
        <v>1509506.9600000002</v>
      </c>
      <c r="D31" s="216">
        <f>ICMS!L24</f>
        <v>1207605.56</v>
      </c>
      <c r="E31" s="216" t="e">
        <f>#REF!</f>
        <v>#REF!</v>
      </c>
      <c r="F31" s="217" t="e">
        <f>#REF!</f>
        <v>#REF!</v>
      </c>
      <c r="G31" s="218" t="e">
        <f t="shared" si="0"/>
        <v>#REF!</v>
      </c>
      <c r="H31" s="219" t="e">
        <f t="shared" si="1"/>
        <v>#REF!</v>
      </c>
      <c r="I31" s="216">
        <f>IPI!C23</f>
        <v>19501.639648</v>
      </c>
      <c r="J31" s="216">
        <f>IPI!D23</f>
        <v>13598.57</v>
      </c>
      <c r="K31" s="216">
        <f>IPVA!J24</f>
        <v>61454.400000000001</v>
      </c>
      <c r="L31" s="217">
        <f>IPVA!L24</f>
        <v>49163.57</v>
      </c>
      <c r="M31" s="418">
        <f>CIDE!B23</f>
        <v>0</v>
      </c>
      <c r="N31" s="418">
        <f>'LC 194 + 201'!B24</f>
        <v>0</v>
      </c>
      <c r="O31" s="418">
        <f>'LC 194 + 201'!D24</f>
        <v>0</v>
      </c>
    </row>
    <row r="32" spans="1:29" ht="15" customHeight="1">
      <c r="A32" s="151" t="s">
        <v>142</v>
      </c>
      <c r="B32" s="146">
        <v>0.18</v>
      </c>
      <c r="C32" s="216">
        <f>ICMS!J25</f>
        <v>670891.97</v>
      </c>
      <c r="D32" s="216">
        <f>ICMS!L25</f>
        <v>536713.57999999996</v>
      </c>
      <c r="E32" s="216" t="e">
        <f>#REF!</f>
        <v>#REF!</v>
      </c>
      <c r="F32" s="217" t="e">
        <f>#REF!</f>
        <v>#REF!</v>
      </c>
      <c r="G32" s="218" t="e">
        <f t="shared" si="0"/>
        <v>#REF!</v>
      </c>
      <c r="H32" s="219" t="e">
        <f t="shared" si="1"/>
        <v>#REF!</v>
      </c>
      <c r="I32" s="216">
        <f>IPI!C24</f>
        <v>7715.8661216</v>
      </c>
      <c r="J32" s="216">
        <f>IPI!D24</f>
        <v>6043.8099999999995</v>
      </c>
      <c r="K32" s="216">
        <f>IPVA!J25</f>
        <v>15051.33</v>
      </c>
      <c r="L32" s="217">
        <f>IPVA!L25</f>
        <v>12041.13</v>
      </c>
      <c r="M32" s="418">
        <f>CIDE!B24</f>
        <v>0</v>
      </c>
      <c r="N32" s="418">
        <f>'LC 194 + 201'!B25</f>
        <v>0</v>
      </c>
      <c r="O32" s="418">
        <f>'LC 194 + 201'!D25</f>
        <v>0</v>
      </c>
    </row>
    <row r="33" spans="1:15" ht="15" customHeight="1">
      <c r="A33" s="151" t="s">
        <v>143</v>
      </c>
      <c r="B33" s="146">
        <v>1.2070000000000001</v>
      </c>
      <c r="C33" s="216">
        <f>ICMS!J26</f>
        <v>4498703.459999999</v>
      </c>
      <c r="D33" s="216">
        <f>ICMS!L26</f>
        <v>3598962.7699999991</v>
      </c>
      <c r="E33" s="216" t="e">
        <f>#REF!</f>
        <v>#REF!</v>
      </c>
      <c r="F33" s="217" t="e">
        <f>#REF!</f>
        <v>#REF!</v>
      </c>
      <c r="G33" s="218" t="e">
        <f t="shared" si="0"/>
        <v>#REF!</v>
      </c>
      <c r="H33" s="219" t="e">
        <f t="shared" si="1"/>
        <v>#REF!</v>
      </c>
      <c r="I33" s="216">
        <f>IPI!C25</f>
        <v>53756.6936384</v>
      </c>
      <c r="J33" s="216">
        <f>IPI!D25</f>
        <v>40527.129999999997</v>
      </c>
      <c r="K33" s="216">
        <f>IPVA!J26</f>
        <v>281057.53000000003</v>
      </c>
      <c r="L33" s="217">
        <f>IPVA!L26</f>
        <v>224846.09000000003</v>
      </c>
      <c r="M33" s="418">
        <f>CIDE!B25</f>
        <v>0</v>
      </c>
      <c r="N33" s="418">
        <f>'LC 194 + 201'!B26</f>
        <v>0</v>
      </c>
      <c r="O33" s="418">
        <f>'LC 194 + 201'!D26</f>
        <v>0</v>
      </c>
    </row>
    <row r="34" spans="1:15" ht="15" customHeight="1">
      <c r="A34" s="151" t="s">
        <v>144</v>
      </c>
      <c r="B34" s="146">
        <v>0.25800000000000001</v>
      </c>
      <c r="C34" s="216">
        <f>ICMS!J27</f>
        <v>961611.83999999985</v>
      </c>
      <c r="D34" s="216">
        <f>ICMS!L27</f>
        <v>769289.46999999986</v>
      </c>
      <c r="E34" s="216" t="e">
        <f>#REF!</f>
        <v>#REF!</v>
      </c>
      <c r="F34" s="217" t="e">
        <f>#REF!</f>
        <v>#REF!</v>
      </c>
      <c r="G34" s="218" t="e">
        <f t="shared" si="0"/>
        <v>#REF!</v>
      </c>
      <c r="H34" s="219" t="e">
        <f t="shared" si="1"/>
        <v>#REF!</v>
      </c>
      <c r="I34" s="216">
        <f>IPI!C26</f>
        <v>11446.614576</v>
      </c>
      <c r="J34" s="216">
        <f>IPI!D26</f>
        <v>8662.7999999999993</v>
      </c>
      <c r="K34" s="216">
        <f>IPVA!J27</f>
        <v>79601.72</v>
      </c>
      <c r="L34" s="217">
        <f>IPVA!L27</f>
        <v>63681.45</v>
      </c>
      <c r="M34" s="418">
        <f>CIDE!B26</f>
        <v>0</v>
      </c>
      <c r="N34" s="418">
        <f>'LC 194 + 201'!B27</f>
        <v>0</v>
      </c>
      <c r="O34" s="418">
        <f>'LC 194 + 201'!D27</f>
        <v>0</v>
      </c>
    </row>
    <row r="35" spans="1:15" ht="15" customHeight="1">
      <c r="A35" s="151" t="s">
        <v>145</v>
      </c>
      <c r="B35" s="146">
        <v>0.7</v>
      </c>
      <c r="C35" s="216">
        <f>ICMS!J28</f>
        <v>2609024.38</v>
      </c>
      <c r="D35" s="216">
        <f>ICMS!L28</f>
        <v>2087219.5199999998</v>
      </c>
      <c r="E35" s="216" t="e">
        <f>#REF!</f>
        <v>#REF!</v>
      </c>
      <c r="F35" s="217" t="e">
        <f>#REF!</f>
        <v>#REF!</v>
      </c>
      <c r="G35" s="218" t="e">
        <f t="shared" si="0"/>
        <v>#REF!</v>
      </c>
      <c r="H35" s="219" t="e">
        <f t="shared" si="1"/>
        <v>#REF!</v>
      </c>
      <c r="I35" s="216">
        <f>IPI!C27</f>
        <v>29422.038947199995</v>
      </c>
      <c r="J35" s="216">
        <f>IPI!D27</f>
        <v>23503.72</v>
      </c>
      <c r="K35" s="216">
        <f>IPVA!J28</f>
        <v>61207.399999999994</v>
      </c>
      <c r="L35" s="217">
        <f>IPVA!L28</f>
        <v>48966</v>
      </c>
      <c r="M35" s="418">
        <f>CIDE!B27</f>
        <v>0</v>
      </c>
      <c r="N35" s="418">
        <f>'LC 194 + 201'!B28</f>
        <v>0</v>
      </c>
      <c r="O35" s="418">
        <f>'LC 194 + 201'!D28</f>
        <v>0</v>
      </c>
    </row>
    <row r="36" spans="1:15" ht="15" customHeight="1">
      <c r="A36" s="151" t="s">
        <v>146</v>
      </c>
      <c r="B36" s="146">
        <v>0.26800000000000002</v>
      </c>
      <c r="C36" s="216">
        <f>ICMS!J29</f>
        <v>998883.61</v>
      </c>
      <c r="D36" s="216">
        <f>ICMS!L29</f>
        <v>799106.88</v>
      </c>
      <c r="E36" s="216" t="e">
        <f>#REF!</f>
        <v>#REF!</v>
      </c>
      <c r="F36" s="217" t="e">
        <f>#REF!</f>
        <v>#REF!</v>
      </c>
      <c r="G36" s="218" t="e">
        <f t="shared" si="0"/>
        <v>#REF!</v>
      </c>
      <c r="H36" s="219" t="e">
        <f t="shared" si="1"/>
        <v>#REF!</v>
      </c>
      <c r="I36" s="216">
        <f>IPI!C28</f>
        <v>12124.932476799999</v>
      </c>
      <c r="J36" s="216">
        <f>IPI!D28</f>
        <v>8998.5600000000013</v>
      </c>
      <c r="K36" s="216">
        <f>IPVA!J29</f>
        <v>57958.899999999994</v>
      </c>
      <c r="L36" s="217">
        <f>IPVA!L29</f>
        <v>46367.199999999997</v>
      </c>
      <c r="M36" s="418">
        <f>CIDE!B28</f>
        <v>0</v>
      </c>
      <c r="N36" s="418">
        <f>'LC 194 + 201'!B29</f>
        <v>0</v>
      </c>
      <c r="O36" s="418">
        <f>'LC 194 + 201'!D29</f>
        <v>0</v>
      </c>
    </row>
    <row r="37" spans="1:15" ht="15" customHeight="1">
      <c r="A37" s="151" t="s">
        <v>26</v>
      </c>
      <c r="B37" s="146">
        <v>0.48899999999999999</v>
      </c>
      <c r="C37" s="216">
        <f>ICMS!J30</f>
        <v>1822589.87</v>
      </c>
      <c r="D37" s="216">
        <f>ICMS!L30</f>
        <v>1458071.9000000001</v>
      </c>
      <c r="E37" s="216" t="e">
        <f>#REF!</f>
        <v>#REF!</v>
      </c>
      <c r="F37" s="217" t="e">
        <f>#REF!</f>
        <v>#REF!</v>
      </c>
      <c r="G37" s="218" t="e">
        <f t="shared" si="0"/>
        <v>#REF!</v>
      </c>
      <c r="H37" s="219" t="e">
        <f t="shared" si="1"/>
        <v>#REF!</v>
      </c>
      <c r="I37" s="216">
        <f>IPI!C29</f>
        <v>18568.952534399999</v>
      </c>
      <c r="J37" s="216">
        <f>IPI!D29</f>
        <v>16419.02</v>
      </c>
      <c r="K37" s="216">
        <f>IPVA!J30</f>
        <v>97847.84</v>
      </c>
      <c r="L37" s="217">
        <f>IPVA!L30</f>
        <v>78278.34</v>
      </c>
      <c r="M37" s="418">
        <f>CIDE!B29</f>
        <v>0</v>
      </c>
      <c r="N37" s="418">
        <f>'LC 194 + 201'!B30</f>
        <v>0</v>
      </c>
      <c r="O37" s="418">
        <f>'LC 194 + 201'!D30</f>
        <v>0</v>
      </c>
    </row>
    <row r="38" spans="1:15" ht="15" customHeight="1">
      <c r="A38" s="151" t="s">
        <v>147</v>
      </c>
      <c r="B38" s="146">
        <v>0.33700000000000002</v>
      </c>
      <c r="C38" s="216">
        <f>ICMS!J31</f>
        <v>1256058.8899999999</v>
      </c>
      <c r="D38" s="216">
        <f>ICMS!L31</f>
        <v>1004847.1099999999</v>
      </c>
      <c r="E38" s="216" t="e">
        <f>#REF!</f>
        <v>#REF!</v>
      </c>
      <c r="F38" s="217" t="e">
        <f>#REF!</f>
        <v>#REF!</v>
      </c>
      <c r="G38" s="218" t="e">
        <f t="shared" si="0"/>
        <v>#REF!</v>
      </c>
      <c r="H38" s="219" t="e">
        <f t="shared" si="1"/>
        <v>#REF!</v>
      </c>
      <c r="I38" s="216">
        <f>IPI!C30</f>
        <v>15219.7578992</v>
      </c>
      <c r="J38" s="216">
        <f>IPI!D30</f>
        <v>11315.36</v>
      </c>
      <c r="K38" s="216">
        <f>IPVA!J31</f>
        <v>189769.64</v>
      </c>
      <c r="L38" s="217">
        <f>IPVA!L31</f>
        <v>151815.81</v>
      </c>
      <c r="M38" s="418">
        <f>CIDE!B30</f>
        <v>0</v>
      </c>
      <c r="N38" s="418">
        <f>'LC 194 + 201'!B31</f>
        <v>0</v>
      </c>
      <c r="O38" s="418">
        <f>'LC 194 + 201'!D31</f>
        <v>0</v>
      </c>
    </row>
    <row r="39" spans="1:15" ht="15" customHeight="1">
      <c r="A39" s="151" t="s">
        <v>148</v>
      </c>
      <c r="B39" s="146">
        <v>0.72499999999999998</v>
      </c>
      <c r="C39" s="216">
        <f>ICMS!J32</f>
        <v>2702203.8</v>
      </c>
      <c r="D39" s="216">
        <f>ICMS!L32</f>
        <v>2161763.0499999998</v>
      </c>
      <c r="E39" s="216" t="e">
        <f>#REF!</f>
        <v>#REF!</v>
      </c>
      <c r="F39" s="217" t="e">
        <f>#REF!</f>
        <v>#REF!</v>
      </c>
      <c r="G39" s="218" t="e">
        <f t="shared" si="0"/>
        <v>#REF!</v>
      </c>
      <c r="H39" s="219" t="e">
        <f t="shared" si="1"/>
        <v>#REF!</v>
      </c>
      <c r="I39" s="216">
        <f>IPI!C31</f>
        <v>34424.633465600004</v>
      </c>
      <c r="J39" s="216">
        <f>IPI!D31</f>
        <v>24343.14</v>
      </c>
      <c r="K39" s="216">
        <f>IPVA!J32</f>
        <v>1466048.5500000003</v>
      </c>
      <c r="L39" s="217">
        <f>IPVA!L32</f>
        <v>1172838.9000000004</v>
      </c>
      <c r="M39" s="418">
        <f>CIDE!B31</f>
        <v>0</v>
      </c>
      <c r="N39" s="418">
        <f>'LC 194 + 201'!B32</f>
        <v>0</v>
      </c>
      <c r="O39" s="418">
        <f>'LC 194 + 201'!D32</f>
        <v>0</v>
      </c>
    </row>
    <row r="40" spans="1:15" ht="15" customHeight="1">
      <c r="A40" s="151" t="s">
        <v>149</v>
      </c>
      <c r="B40" s="146">
        <v>0.33300000000000002</v>
      </c>
      <c r="C40" s="216">
        <f>ICMS!J33</f>
        <v>1241150.1699999997</v>
      </c>
      <c r="D40" s="216">
        <f>ICMS!L33</f>
        <v>992920.11999999965</v>
      </c>
      <c r="E40" s="216" t="e">
        <f>#REF!</f>
        <v>#REF!</v>
      </c>
      <c r="F40" s="217" t="e">
        <f>#REF!</f>
        <v>#REF!</v>
      </c>
      <c r="G40" s="218" t="e">
        <f t="shared" si="0"/>
        <v>#REF!</v>
      </c>
      <c r="H40" s="219" t="e">
        <f t="shared" si="1"/>
        <v>#REF!</v>
      </c>
      <c r="I40" s="216">
        <f>IPI!C32</f>
        <v>15770.891193599999</v>
      </c>
      <c r="J40" s="216">
        <f>IPI!D32</f>
        <v>11181.06</v>
      </c>
      <c r="K40" s="216">
        <f>IPVA!J33</f>
        <v>162222.51999999999</v>
      </c>
      <c r="L40" s="217">
        <f>IPVA!L33</f>
        <v>129778.09</v>
      </c>
      <c r="M40" s="418">
        <f>CIDE!B32</f>
        <v>0</v>
      </c>
      <c r="N40" s="418">
        <f>'LC 194 + 201'!B33</f>
        <v>0</v>
      </c>
      <c r="O40" s="418">
        <f>'LC 194 + 201'!D33</f>
        <v>0</v>
      </c>
    </row>
    <row r="41" spans="1:15" ht="15" customHeight="1">
      <c r="A41" s="151" t="s">
        <v>150</v>
      </c>
      <c r="B41" s="146">
        <v>0.22700000000000001</v>
      </c>
      <c r="C41" s="216">
        <f>ICMS!J34</f>
        <v>846069.35000000009</v>
      </c>
      <c r="D41" s="216">
        <f>ICMS!L34</f>
        <v>676855.48</v>
      </c>
      <c r="E41" s="216" t="e">
        <f>#REF!</f>
        <v>#REF!</v>
      </c>
      <c r="F41" s="217" t="e">
        <f>#REF!</f>
        <v>#REF!</v>
      </c>
      <c r="G41" s="218" t="e">
        <f t="shared" si="0"/>
        <v>#REF!</v>
      </c>
      <c r="H41" s="219" t="e">
        <f t="shared" si="1"/>
        <v>#REF!</v>
      </c>
      <c r="I41" s="216">
        <f>IPI!C33</f>
        <v>9793.2146928000002</v>
      </c>
      <c r="J41" s="216">
        <f>IPI!D33</f>
        <v>7621.92</v>
      </c>
      <c r="K41" s="216">
        <f>IPVA!J34</f>
        <v>108715.65999999997</v>
      </c>
      <c r="L41" s="217">
        <f>IPVA!L34</f>
        <v>86972.559999999969</v>
      </c>
      <c r="M41" s="418">
        <f>CIDE!B33</f>
        <v>0</v>
      </c>
      <c r="N41" s="418">
        <f>'LC 194 + 201'!B34</f>
        <v>0</v>
      </c>
      <c r="O41" s="418">
        <f>'LC 194 + 201'!D34</f>
        <v>0</v>
      </c>
    </row>
    <row r="42" spans="1:15" ht="15" customHeight="1">
      <c r="A42" s="151" t="s">
        <v>151</v>
      </c>
      <c r="B42" s="146">
        <v>0.23400000000000001</v>
      </c>
      <c r="C42" s="216">
        <f>ICMS!J35</f>
        <v>872159.57999999984</v>
      </c>
      <c r="D42" s="216">
        <f>ICMS!L35</f>
        <v>697727.6599999998</v>
      </c>
      <c r="E42" s="216" t="e">
        <f>#REF!</f>
        <v>#REF!</v>
      </c>
      <c r="F42" s="217" t="e">
        <f>#REF!</f>
        <v>#REF!</v>
      </c>
      <c r="G42" s="218" t="e">
        <f t="shared" si="0"/>
        <v>#REF!</v>
      </c>
      <c r="H42" s="219" t="e">
        <f t="shared" si="1"/>
        <v>#REF!</v>
      </c>
      <c r="I42" s="216">
        <f>IPI!C34</f>
        <v>10301.953118399999</v>
      </c>
      <c r="J42" s="216">
        <f>IPI!D34</f>
        <v>7856.95</v>
      </c>
      <c r="K42" s="216">
        <f>IPVA!J35</f>
        <v>31832.179999999997</v>
      </c>
      <c r="L42" s="217">
        <f>IPVA!L35</f>
        <v>25465.839999999997</v>
      </c>
      <c r="M42" s="418">
        <f>CIDE!B34</f>
        <v>0</v>
      </c>
      <c r="N42" s="418">
        <f>'LC 194 + 201'!B35</f>
        <v>0</v>
      </c>
      <c r="O42" s="418">
        <f>'LC 194 + 201'!D35</f>
        <v>0</v>
      </c>
    </row>
    <row r="43" spans="1:15" ht="15" customHeight="1">
      <c r="A43" s="151" t="s">
        <v>152</v>
      </c>
      <c r="B43" s="146">
        <v>0.28699999999999998</v>
      </c>
      <c r="C43" s="216">
        <f>ICMS!J36</f>
        <v>1069699.98</v>
      </c>
      <c r="D43" s="216">
        <f>ICMS!L36</f>
        <v>855759.99</v>
      </c>
      <c r="E43" s="216" t="e">
        <f>#REF!</f>
        <v>#REF!</v>
      </c>
      <c r="F43" s="217" t="e">
        <f>#REF!</f>
        <v>#REF!</v>
      </c>
      <c r="G43" s="218" t="e">
        <f t="shared" ref="G43:G74" si="2">C43+E43</f>
        <v>#REF!</v>
      </c>
      <c r="H43" s="219" t="e">
        <f t="shared" ref="H43:H74" si="3">D43+F43</f>
        <v>#REF!</v>
      </c>
      <c r="I43" s="216">
        <f>IPI!C35</f>
        <v>13354.383672</v>
      </c>
      <c r="J43" s="216">
        <f>IPI!D35</f>
        <v>9636.5300000000007</v>
      </c>
      <c r="K43" s="216">
        <f>IPVA!J36</f>
        <v>314445.65000000002</v>
      </c>
      <c r="L43" s="217">
        <f>IPVA!L36</f>
        <v>251556.62</v>
      </c>
      <c r="M43" s="418">
        <f>CIDE!B35</f>
        <v>0</v>
      </c>
      <c r="N43" s="418">
        <f>'LC 194 + 201'!B36</f>
        <v>0</v>
      </c>
      <c r="O43" s="418">
        <f>'LC 194 + 201'!D36</f>
        <v>0</v>
      </c>
    </row>
    <row r="44" spans="1:15" ht="15" customHeight="1">
      <c r="A44" s="151" t="s">
        <v>153</v>
      </c>
      <c r="B44" s="146">
        <v>0.28799999999999998</v>
      </c>
      <c r="C44" s="216">
        <f>ICMS!J37</f>
        <v>1073427.1599999997</v>
      </c>
      <c r="D44" s="216">
        <f>ICMS!L37</f>
        <v>858741.72999999963</v>
      </c>
      <c r="E44" s="216" t="e">
        <f>#REF!</f>
        <v>#REF!</v>
      </c>
      <c r="F44" s="217" t="e">
        <f>#REF!</f>
        <v>#REF!</v>
      </c>
      <c r="G44" s="218" t="e">
        <f t="shared" si="2"/>
        <v>#REF!</v>
      </c>
      <c r="H44" s="219" t="e">
        <f t="shared" si="3"/>
        <v>#REF!</v>
      </c>
      <c r="I44" s="216">
        <f>IPI!C36</f>
        <v>12676.065771199999</v>
      </c>
      <c r="J44" s="216">
        <f>IPI!D36</f>
        <v>9670.0999999999985</v>
      </c>
      <c r="K44" s="216">
        <f>IPVA!J37</f>
        <v>82463.790000000008</v>
      </c>
      <c r="L44" s="217">
        <f>IPVA!L37</f>
        <v>65971.13</v>
      </c>
      <c r="M44" s="418">
        <f>CIDE!B36</f>
        <v>0</v>
      </c>
      <c r="N44" s="418">
        <f>'LC 194 + 201'!B37</f>
        <v>0</v>
      </c>
      <c r="O44" s="418">
        <f>'LC 194 + 201'!D37</f>
        <v>0</v>
      </c>
    </row>
    <row r="45" spans="1:15" ht="15" customHeight="1">
      <c r="A45" s="151" t="s">
        <v>154</v>
      </c>
      <c r="B45" s="146">
        <v>0.33800000000000002</v>
      </c>
      <c r="C45" s="216">
        <f>ICMS!J38</f>
        <v>1259786.0599999996</v>
      </c>
      <c r="D45" s="216">
        <f>ICMS!L38</f>
        <v>1007828.8199999996</v>
      </c>
      <c r="E45" s="216" t="e">
        <f>#REF!</f>
        <v>#REF!</v>
      </c>
      <c r="F45" s="217" t="e">
        <f>#REF!</f>
        <v>#REF!</v>
      </c>
      <c r="G45" s="218" t="e">
        <f t="shared" si="2"/>
        <v>#REF!</v>
      </c>
      <c r="H45" s="219" t="e">
        <f t="shared" si="3"/>
        <v>#REF!</v>
      </c>
      <c r="I45" s="216">
        <f>IPI!C37</f>
        <v>13523.9631472</v>
      </c>
      <c r="J45" s="216">
        <f>IPI!D37</f>
        <v>11348.94</v>
      </c>
      <c r="K45" s="216">
        <f>IPVA!J38</f>
        <v>45650.160000000011</v>
      </c>
      <c r="L45" s="217">
        <f>IPVA!L38</f>
        <v>36520.200000000012</v>
      </c>
      <c r="M45" s="418">
        <f>CIDE!B37</f>
        <v>0</v>
      </c>
      <c r="N45" s="418">
        <f>'LC 194 + 201'!B38</f>
        <v>0</v>
      </c>
      <c r="O45" s="418">
        <f>'LC 194 + 201'!D38</f>
        <v>0</v>
      </c>
    </row>
    <row r="46" spans="1:15" ht="15" customHeight="1">
      <c r="A46" s="151" t="s">
        <v>155</v>
      </c>
      <c r="B46" s="146">
        <v>3.8050000000000002</v>
      </c>
      <c r="C46" s="216">
        <f>ICMS!J39</f>
        <v>14181911.02</v>
      </c>
      <c r="D46" s="216">
        <f>ICMS!L39</f>
        <v>11345528.82</v>
      </c>
      <c r="E46" s="216" t="e">
        <f>#REF!</f>
        <v>#REF!</v>
      </c>
      <c r="F46" s="217" t="e">
        <f>#REF!</f>
        <v>#REF!</v>
      </c>
      <c r="G46" s="218" t="e">
        <f t="shared" si="2"/>
        <v>#REF!</v>
      </c>
      <c r="H46" s="219" t="e">
        <f t="shared" si="3"/>
        <v>#REF!</v>
      </c>
      <c r="I46" s="216">
        <f>IPI!C38</f>
        <v>104079.402904</v>
      </c>
      <c r="J46" s="216">
        <f>IPI!D38</f>
        <v>127759.48000000001</v>
      </c>
      <c r="K46" s="216">
        <f>IPVA!J39</f>
        <v>188241.93999999997</v>
      </c>
      <c r="L46" s="217">
        <f>IPVA!L39</f>
        <v>150593.61999999997</v>
      </c>
      <c r="M46" s="418">
        <f>CIDE!B38</f>
        <v>0</v>
      </c>
      <c r="N46" s="418">
        <f>'LC 194 + 201'!B39</f>
        <v>0</v>
      </c>
      <c r="O46" s="418">
        <f>'LC 194 + 201'!D39</f>
        <v>0</v>
      </c>
    </row>
    <row r="47" spans="1:15" ht="15" customHeight="1">
      <c r="A47" s="151" t="s">
        <v>156</v>
      </c>
      <c r="B47" s="146">
        <v>0.35299999999999998</v>
      </c>
      <c r="C47" s="216">
        <f>ICMS!J40</f>
        <v>1315693.7400000002</v>
      </c>
      <c r="D47" s="216">
        <f>ICMS!L40</f>
        <v>1052554.9800000002</v>
      </c>
      <c r="E47" s="216" t="e">
        <f>#REF!</f>
        <v>#REF!</v>
      </c>
      <c r="F47" s="217" t="e">
        <f>#REF!</f>
        <v>#REF!</v>
      </c>
      <c r="G47" s="218" t="e">
        <f t="shared" si="2"/>
        <v>#REF!</v>
      </c>
      <c r="H47" s="219" t="e">
        <f t="shared" si="3"/>
        <v>#REF!</v>
      </c>
      <c r="I47" s="216">
        <f>IPI!C39</f>
        <v>14753.414342399998</v>
      </c>
      <c r="J47" s="216">
        <f>IPI!D39</f>
        <v>11852.59</v>
      </c>
      <c r="K47" s="216">
        <f>IPVA!J40</f>
        <v>56979.33</v>
      </c>
      <c r="L47" s="217">
        <f>IPVA!L40</f>
        <v>45583.55</v>
      </c>
      <c r="M47" s="418">
        <f>CIDE!B39</f>
        <v>0</v>
      </c>
      <c r="N47" s="418">
        <f>'LC 194 + 201'!B40</f>
        <v>0</v>
      </c>
      <c r="O47" s="418">
        <f>'LC 194 + 201'!D40</f>
        <v>0</v>
      </c>
    </row>
    <row r="48" spans="1:15" ht="15" customHeight="1">
      <c r="A48" s="151" t="s">
        <v>157</v>
      </c>
      <c r="B48" s="146">
        <v>0.46899999999999997</v>
      </c>
      <c r="C48" s="216">
        <f>ICMS!J41</f>
        <v>1748046.32</v>
      </c>
      <c r="D48" s="216">
        <f>ICMS!L41</f>
        <v>1398437.06</v>
      </c>
      <c r="E48" s="216" t="e">
        <f>#REF!</f>
        <v>#REF!</v>
      </c>
      <c r="F48" s="217" t="e">
        <f>#REF!</f>
        <v>#REF!</v>
      </c>
      <c r="G48" s="218" t="e">
        <f t="shared" si="2"/>
        <v>#REF!</v>
      </c>
      <c r="H48" s="219" t="e">
        <f t="shared" si="3"/>
        <v>#REF!</v>
      </c>
      <c r="I48" s="216">
        <f>IPI!C40</f>
        <v>21027.854924799998</v>
      </c>
      <c r="J48" s="216">
        <f>IPI!D40</f>
        <v>15747.49</v>
      </c>
      <c r="K48" s="216">
        <f>IPVA!J41</f>
        <v>105434.93999999997</v>
      </c>
      <c r="L48" s="217">
        <f>IPVA!L41</f>
        <v>84348.039999999979</v>
      </c>
      <c r="M48" s="418">
        <f>CIDE!B40</f>
        <v>0</v>
      </c>
      <c r="N48" s="418">
        <f>'LC 194 + 201'!B41</f>
        <v>0</v>
      </c>
      <c r="O48" s="418">
        <f>'LC 194 + 201'!D41</f>
        <v>0</v>
      </c>
    </row>
    <row r="49" spans="1:15" ht="15" customHeight="1">
      <c r="A49" s="151" t="s">
        <v>35</v>
      </c>
      <c r="B49" s="146">
        <v>1.0740000000000001</v>
      </c>
      <c r="C49" s="216">
        <f>ICMS!J42</f>
        <v>4002988.8399999994</v>
      </c>
      <c r="D49" s="216">
        <f>ICMS!L42</f>
        <v>3202391.0799999991</v>
      </c>
      <c r="E49" s="216" t="e">
        <f>#REF!</f>
        <v>#REF!</v>
      </c>
      <c r="F49" s="217" t="e">
        <f>#REF!</f>
        <v>#REF!</v>
      </c>
      <c r="G49" s="218" t="e">
        <f t="shared" si="2"/>
        <v>#REF!</v>
      </c>
      <c r="H49" s="219" t="e">
        <f t="shared" si="3"/>
        <v>#REF!</v>
      </c>
      <c r="I49" s="216">
        <f>IPI!C41</f>
        <v>36925.930724800004</v>
      </c>
      <c r="J49" s="216">
        <f>IPI!D41</f>
        <v>36061.42</v>
      </c>
      <c r="K49" s="216">
        <f>IPVA!J42</f>
        <v>120457.93</v>
      </c>
      <c r="L49" s="217">
        <f>IPVA!L42</f>
        <v>96366.43</v>
      </c>
      <c r="M49" s="418">
        <f>CIDE!B41</f>
        <v>0</v>
      </c>
      <c r="N49" s="418">
        <f>'LC 194 + 201'!B42</f>
        <v>0</v>
      </c>
      <c r="O49" s="418">
        <f>'LC 194 + 201'!D42</f>
        <v>0</v>
      </c>
    </row>
    <row r="50" spans="1:15" ht="15" customHeight="1">
      <c r="A50" s="151" t="s">
        <v>158</v>
      </c>
      <c r="B50" s="146">
        <v>0.20100000000000001</v>
      </c>
      <c r="C50" s="216">
        <f>ICMS!J43</f>
        <v>749162.69000000006</v>
      </c>
      <c r="D50" s="216">
        <f>ICMS!L43</f>
        <v>599330.15</v>
      </c>
      <c r="E50" s="216" t="e">
        <f>#REF!</f>
        <v>#REF!</v>
      </c>
      <c r="F50" s="217" t="e">
        <f>#REF!</f>
        <v>#REF!</v>
      </c>
      <c r="G50" s="218" t="e">
        <f t="shared" si="2"/>
        <v>#REF!</v>
      </c>
      <c r="H50" s="219" t="e">
        <f t="shared" si="3"/>
        <v>#REF!</v>
      </c>
      <c r="I50" s="216">
        <f>IPI!C42</f>
        <v>8902.9224479999993</v>
      </c>
      <c r="J50" s="216">
        <f>IPI!D42</f>
        <v>6748.92</v>
      </c>
      <c r="K50" s="216">
        <f>IPVA!J43</f>
        <v>30077.480000000007</v>
      </c>
      <c r="L50" s="217">
        <f>IPVA!L43</f>
        <v>24062.05000000001</v>
      </c>
      <c r="M50" s="418">
        <f>CIDE!B42</f>
        <v>0</v>
      </c>
      <c r="N50" s="418">
        <f>'LC 194 + 201'!B43</f>
        <v>0</v>
      </c>
      <c r="O50" s="418">
        <f>'LC 194 + 201'!D43</f>
        <v>0</v>
      </c>
    </row>
    <row r="51" spans="1:15" ht="15" customHeight="1">
      <c r="A51" s="151" t="s">
        <v>159</v>
      </c>
      <c r="B51" s="146">
        <v>0.38300000000000001</v>
      </c>
      <c r="C51" s="216">
        <f>ICMS!J44</f>
        <v>1427509.03</v>
      </c>
      <c r="D51" s="216">
        <f>ICMS!L44</f>
        <v>1142007.22</v>
      </c>
      <c r="E51" s="216" t="e">
        <f>#REF!</f>
        <v>#REF!</v>
      </c>
      <c r="F51" s="217" t="e">
        <f>#REF!</f>
        <v>#REF!</v>
      </c>
      <c r="G51" s="218" t="e">
        <f t="shared" si="2"/>
        <v>#REF!</v>
      </c>
      <c r="H51" s="219" t="e">
        <f t="shared" si="3"/>
        <v>#REF!</v>
      </c>
      <c r="I51" s="216">
        <f>IPI!C43</f>
        <v>15346.9425056</v>
      </c>
      <c r="J51" s="216">
        <f>IPI!D43</f>
        <v>12859.89</v>
      </c>
      <c r="K51" s="216">
        <f>IPVA!J44</f>
        <v>96227.200000000012</v>
      </c>
      <c r="L51" s="217">
        <f>IPVA!L44</f>
        <v>76981.850000000006</v>
      </c>
      <c r="M51" s="418">
        <f>CIDE!B43</f>
        <v>0</v>
      </c>
      <c r="N51" s="418">
        <f>'LC 194 + 201'!B44</f>
        <v>0</v>
      </c>
      <c r="O51" s="418">
        <f>'LC 194 + 201'!D44</f>
        <v>0</v>
      </c>
    </row>
    <row r="52" spans="1:15" ht="15" customHeight="1">
      <c r="A52" s="151" t="s">
        <v>160</v>
      </c>
      <c r="B52" s="146">
        <v>0.377</v>
      </c>
      <c r="C52" s="216">
        <f>ICMS!J45</f>
        <v>1405145.9800000004</v>
      </c>
      <c r="D52" s="216">
        <f>ICMS!L45</f>
        <v>1124116.7800000005</v>
      </c>
      <c r="E52" s="216" t="e">
        <f>#REF!</f>
        <v>#REF!</v>
      </c>
      <c r="F52" s="217" t="e">
        <f>#REF!</f>
        <v>#REF!</v>
      </c>
      <c r="G52" s="218" t="e">
        <f t="shared" si="2"/>
        <v>#REF!</v>
      </c>
      <c r="H52" s="219" t="e">
        <f t="shared" si="3"/>
        <v>#REF!</v>
      </c>
      <c r="I52" s="216">
        <f>IPI!C44</f>
        <v>15813.286062399999</v>
      </c>
      <c r="J52" s="216">
        <f>IPI!D44</f>
        <v>12658.439999999999</v>
      </c>
      <c r="K52" s="216">
        <f>IPVA!J45</f>
        <v>75705.8</v>
      </c>
      <c r="L52" s="217">
        <f>IPVA!L45</f>
        <v>60564.710000000006</v>
      </c>
      <c r="M52" s="418">
        <f>CIDE!B44</f>
        <v>0</v>
      </c>
      <c r="N52" s="418">
        <f>'LC 194 + 201'!B45</f>
        <v>0</v>
      </c>
      <c r="O52" s="418">
        <f>'LC 194 + 201'!D45</f>
        <v>0</v>
      </c>
    </row>
    <row r="53" spans="1:15" ht="15" customHeight="1">
      <c r="A53" s="151" t="s">
        <v>161</v>
      </c>
      <c r="B53" s="146">
        <v>4.6500000000000004</v>
      </c>
      <c r="C53" s="216">
        <f>ICMS!J46</f>
        <v>17331376.16</v>
      </c>
      <c r="D53" s="216">
        <f>ICMS!L46</f>
        <v>13865100.940000001</v>
      </c>
      <c r="E53" s="216" t="e">
        <f>#REF!</f>
        <v>#REF!</v>
      </c>
      <c r="F53" s="217" t="e">
        <f>#REF!</f>
        <v>#REF!</v>
      </c>
      <c r="G53" s="218" t="e">
        <f t="shared" si="2"/>
        <v>#REF!</v>
      </c>
      <c r="H53" s="219" t="e">
        <f t="shared" si="3"/>
        <v>#REF!</v>
      </c>
      <c r="I53" s="216">
        <f>IPI!C45</f>
        <v>211084.05175519999</v>
      </c>
      <c r="J53" s="216">
        <f>IPI!D45</f>
        <v>156131.82</v>
      </c>
      <c r="K53" s="216">
        <f>IPVA!J46</f>
        <v>1041817.7700000001</v>
      </c>
      <c r="L53" s="217">
        <f>IPVA!L46</f>
        <v>833454.29000000015</v>
      </c>
      <c r="M53" s="418">
        <f>CIDE!B45</f>
        <v>0</v>
      </c>
      <c r="N53" s="418">
        <f>'LC 194 + 201'!B46</f>
        <v>0</v>
      </c>
      <c r="O53" s="418">
        <f>'LC 194 + 201'!D46</f>
        <v>0</v>
      </c>
    </row>
    <row r="54" spans="1:15" ht="15" customHeight="1">
      <c r="A54" s="151" t="s">
        <v>162</v>
      </c>
      <c r="B54" s="146">
        <v>0.25</v>
      </c>
      <c r="C54" s="216">
        <f>ICMS!J47</f>
        <v>931794.4</v>
      </c>
      <c r="D54" s="216">
        <f>ICMS!L47</f>
        <v>745435.51</v>
      </c>
      <c r="E54" s="216" t="e">
        <f>#REF!</f>
        <v>#REF!</v>
      </c>
      <c r="F54" s="217" t="e">
        <f>#REF!</f>
        <v>#REF!</v>
      </c>
      <c r="G54" s="218" t="e">
        <f t="shared" si="2"/>
        <v>#REF!</v>
      </c>
      <c r="H54" s="219" t="e">
        <f t="shared" si="3"/>
        <v>#REF!</v>
      </c>
      <c r="I54" s="216">
        <f>IPI!C46</f>
        <v>11700.9837888</v>
      </c>
      <c r="J54" s="216">
        <f>IPI!D46</f>
        <v>8394.18</v>
      </c>
      <c r="K54" s="216">
        <f>IPVA!J47</f>
        <v>59110.090000000004</v>
      </c>
      <c r="L54" s="217">
        <f>IPVA!L47</f>
        <v>47288.15</v>
      </c>
      <c r="M54" s="418">
        <f>CIDE!B46</f>
        <v>0</v>
      </c>
      <c r="N54" s="418">
        <f>'LC 194 + 201'!B47</f>
        <v>0</v>
      </c>
      <c r="O54" s="418">
        <f>'LC 194 + 201'!D47</f>
        <v>0</v>
      </c>
    </row>
    <row r="55" spans="1:15" ht="15" customHeight="1">
      <c r="A55" s="151" t="s">
        <v>163</v>
      </c>
      <c r="B55" s="146">
        <v>0.61599999999999999</v>
      </c>
      <c r="C55" s="216">
        <f>ICMS!J48</f>
        <v>2295941.4099999997</v>
      </c>
      <c r="D55" s="216">
        <f>ICMS!L48</f>
        <v>1836753.1199999996</v>
      </c>
      <c r="E55" s="216" t="e">
        <f>#REF!</f>
        <v>#REF!</v>
      </c>
      <c r="F55" s="217" t="e">
        <f>#REF!</f>
        <v>#REF!</v>
      </c>
      <c r="G55" s="218" t="e">
        <f t="shared" si="2"/>
        <v>#REF!</v>
      </c>
      <c r="H55" s="219" t="e">
        <f t="shared" si="3"/>
        <v>#REF!</v>
      </c>
      <c r="I55" s="216">
        <f>IPI!C47</f>
        <v>27895.823670399997</v>
      </c>
      <c r="J55" s="216">
        <f>IPI!D47</f>
        <v>20683.27</v>
      </c>
      <c r="K55" s="216">
        <f>IPVA!J48</f>
        <v>256819.57</v>
      </c>
      <c r="L55" s="217">
        <f>IPVA!L48</f>
        <v>205455.74000000002</v>
      </c>
      <c r="M55" s="418">
        <f>CIDE!B47</f>
        <v>0</v>
      </c>
      <c r="N55" s="418">
        <f>'LC 194 + 201'!B48</f>
        <v>0</v>
      </c>
      <c r="O55" s="418">
        <f>'LC 194 + 201'!D48</f>
        <v>0</v>
      </c>
    </row>
    <row r="56" spans="1:15" ht="15" customHeight="1">
      <c r="A56" s="151" t="s">
        <v>164</v>
      </c>
      <c r="B56" s="146">
        <v>0.56699999999999995</v>
      </c>
      <c r="C56" s="216">
        <f>ICMS!J49</f>
        <v>2113309.7599999998</v>
      </c>
      <c r="D56" s="216">
        <f>ICMS!L49</f>
        <v>1690647.7999999998</v>
      </c>
      <c r="E56" s="216" t="e">
        <f>#REF!</f>
        <v>#REF!</v>
      </c>
      <c r="F56" s="217" t="e">
        <f>#REF!</f>
        <v>#REF!</v>
      </c>
      <c r="G56" s="218" t="e">
        <f t="shared" si="2"/>
        <v>#REF!</v>
      </c>
      <c r="H56" s="219" t="e">
        <f t="shared" si="3"/>
        <v>#REF!</v>
      </c>
      <c r="I56" s="216">
        <f>IPI!C48</f>
        <v>25903.264836800001</v>
      </c>
      <c r="J56" s="216">
        <f>IPI!D48</f>
        <v>19038.010000000002</v>
      </c>
      <c r="K56" s="216">
        <f>IPVA!J49</f>
        <v>130514.29000000001</v>
      </c>
      <c r="L56" s="217">
        <f>IPVA!L49</f>
        <v>104411.5</v>
      </c>
      <c r="M56" s="418">
        <f>CIDE!B48</f>
        <v>0</v>
      </c>
      <c r="N56" s="418">
        <f>'LC 194 + 201'!B49</f>
        <v>0</v>
      </c>
      <c r="O56" s="418">
        <f>'LC 194 + 201'!D49</f>
        <v>0</v>
      </c>
    </row>
    <row r="57" spans="1:15" ht="15" customHeight="1">
      <c r="A57" s="151" t="s">
        <v>165</v>
      </c>
      <c r="B57" s="146">
        <v>0.46</v>
      </c>
      <c r="C57" s="216">
        <f>ICMS!J50</f>
        <v>1714501.7300000002</v>
      </c>
      <c r="D57" s="216">
        <f>ICMS!L50</f>
        <v>1371601.3600000003</v>
      </c>
      <c r="E57" s="216" t="e">
        <f>#REF!</f>
        <v>#REF!</v>
      </c>
      <c r="F57" s="217" t="e">
        <f>#REF!</f>
        <v>#REF!</v>
      </c>
      <c r="G57" s="218" t="e">
        <f t="shared" si="2"/>
        <v>#REF!</v>
      </c>
      <c r="H57" s="219" t="e">
        <f t="shared" si="3"/>
        <v>#REF!</v>
      </c>
      <c r="I57" s="216">
        <f>IPI!C49</f>
        <v>18484.162796799999</v>
      </c>
      <c r="J57" s="216">
        <f>IPI!D49</f>
        <v>15445.29</v>
      </c>
      <c r="K57" s="216">
        <f>IPVA!J50</f>
        <v>130196.26000000001</v>
      </c>
      <c r="L57" s="217">
        <f>IPVA!L50</f>
        <v>104157.08000000002</v>
      </c>
      <c r="M57" s="418">
        <f>CIDE!B49</f>
        <v>0</v>
      </c>
      <c r="N57" s="418">
        <f>'LC 194 + 201'!B50</f>
        <v>0</v>
      </c>
      <c r="O57" s="418">
        <f>'LC 194 + 201'!D50</f>
        <v>0</v>
      </c>
    </row>
    <row r="58" spans="1:15" ht="15" customHeight="1">
      <c r="A58" s="151" t="s">
        <v>166</v>
      </c>
      <c r="B58" s="146">
        <v>0.47499999999999998</v>
      </c>
      <c r="C58" s="216">
        <f>ICMS!J51</f>
        <v>1770409.3999999997</v>
      </c>
      <c r="D58" s="216">
        <f>ICMS!L51</f>
        <v>1416327.5099999998</v>
      </c>
      <c r="E58" s="216" t="e">
        <f>#REF!</f>
        <v>#REF!</v>
      </c>
      <c r="F58" s="217" t="e">
        <f>#REF!</f>
        <v>#REF!</v>
      </c>
      <c r="G58" s="218" t="e">
        <f t="shared" si="2"/>
        <v>#REF!</v>
      </c>
      <c r="H58" s="219" t="e">
        <f t="shared" si="3"/>
        <v>#REF!</v>
      </c>
      <c r="I58" s="216">
        <f>IPI!C50</f>
        <v>20985.460055999996</v>
      </c>
      <c r="J58" s="216">
        <f>IPI!D50</f>
        <v>15948.949999999999</v>
      </c>
      <c r="K58" s="216">
        <f>IPVA!J51</f>
        <v>114168.37000000001</v>
      </c>
      <c r="L58" s="217">
        <f>IPVA!L51</f>
        <v>91334.770000000019</v>
      </c>
      <c r="M58" s="418">
        <f>CIDE!B50</f>
        <v>0</v>
      </c>
      <c r="N58" s="418">
        <f>'LC 194 + 201'!B51</f>
        <v>0</v>
      </c>
      <c r="O58" s="418">
        <f>'LC 194 + 201'!D51</f>
        <v>0</v>
      </c>
    </row>
    <row r="59" spans="1:15" ht="15" customHeight="1">
      <c r="A59" s="151" t="s">
        <v>167</v>
      </c>
      <c r="B59" s="146">
        <v>0.52800000000000002</v>
      </c>
      <c r="C59" s="216">
        <f>ICMS!J52</f>
        <v>1967949.8099999998</v>
      </c>
      <c r="D59" s="216">
        <f>ICMS!L52</f>
        <v>1574359.8499999999</v>
      </c>
      <c r="E59" s="216" t="e">
        <f>#REF!</f>
        <v>#REF!</v>
      </c>
      <c r="F59" s="217" t="e">
        <f>#REF!</f>
        <v>#REF!</v>
      </c>
      <c r="G59" s="218" t="e">
        <f t="shared" si="2"/>
        <v>#REF!</v>
      </c>
      <c r="H59" s="219" t="e">
        <f t="shared" si="3"/>
        <v>#REF!</v>
      </c>
      <c r="I59" s="216">
        <f>IPI!C51</f>
        <v>22087.726644800001</v>
      </c>
      <c r="J59" s="216">
        <f>IPI!D51</f>
        <v>17728.519999999997</v>
      </c>
      <c r="K59" s="216">
        <f>IPVA!J52</f>
        <v>100656.62</v>
      </c>
      <c r="L59" s="217">
        <f>IPVA!L52</f>
        <v>80525.37</v>
      </c>
      <c r="M59" s="418">
        <f>CIDE!B51</f>
        <v>0</v>
      </c>
      <c r="N59" s="418">
        <f>'LC 194 + 201'!B52</f>
        <v>0</v>
      </c>
      <c r="O59" s="418">
        <f>'LC 194 + 201'!D52</f>
        <v>0</v>
      </c>
    </row>
    <row r="60" spans="1:15" ht="15" customHeight="1">
      <c r="A60" s="151" t="s">
        <v>168</v>
      </c>
      <c r="B60" s="146">
        <v>0.29299999999999998</v>
      </c>
      <c r="C60" s="216">
        <f>ICMS!J53</f>
        <v>1092063.0299999998</v>
      </c>
      <c r="D60" s="216">
        <f>ICMS!L53</f>
        <v>873650.41999999981</v>
      </c>
      <c r="E60" s="216" t="e">
        <f>#REF!</f>
        <v>#REF!</v>
      </c>
      <c r="F60" s="217" t="e">
        <f>#REF!</f>
        <v>#REF!</v>
      </c>
      <c r="G60" s="218" t="e">
        <f t="shared" si="2"/>
        <v>#REF!</v>
      </c>
      <c r="H60" s="219" t="e">
        <f t="shared" si="3"/>
        <v>#REF!</v>
      </c>
      <c r="I60" s="216">
        <f>IPI!C52</f>
        <v>11997.747870399999</v>
      </c>
      <c r="J60" s="216">
        <f>IPI!D52</f>
        <v>9837.99</v>
      </c>
      <c r="K60" s="216">
        <f>IPVA!J53</f>
        <v>25253.040000000001</v>
      </c>
      <c r="L60" s="217">
        <f>IPVA!L53</f>
        <v>20202.52</v>
      </c>
      <c r="M60" s="418">
        <f>CIDE!B52</f>
        <v>0</v>
      </c>
      <c r="N60" s="418">
        <f>'LC 194 + 201'!B53</f>
        <v>0</v>
      </c>
      <c r="O60" s="418">
        <f>'LC 194 + 201'!D53</f>
        <v>0</v>
      </c>
    </row>
    <row r="61" spans="1:15" ht="15" customHeight="1">
      <c r="A61" s="151" t="s">
        <v>169</v>
      </c>
      <c r="B61" s="146">
        <v>0.51800000000000002</v>
      </c>
      <c r="C61" s="216">
        <f>ICMS!J54</f>
        <v>1930678.04</v>
      </c>
      <c r="D61" s="216">
        <f>ICMS!L54</f>
        <v>1544542.42</v>
      </c>
      <c r="E61" s="216" t="e">
        <f>#REF!</f>
        <v>#REF!</v>
      </c>
      <c r="F61" s="217" t="e">
        <f>#REF!</f>
        <v>#REF!</v>
      </c>
      <c r="G61" s="218" t="e">
        <f t="shared" si="2"/>
        <v>#REF!</v>
      </c>
      <c r="H61" s="219" t="e">
        <f t="shared" si="3"/>
        <v>#REF!</v>
      </c>
      <c r="I61" s="216">
        <f>IPI!C53</f>
        <v>23147.5983648</v>
      </c>
      <c r="J61" s="216">
        <f>IPI!D53</f>
        <v>17392.75</v>
      </c>
      <c r="K61" s="216">
        <f>IPVA!J54</f>
        <v>55979.909999999996</v>
      </c>
      <c r="L61" s="217">
        <f>IPVA!L54</f>
        <v>44783.99</v>
      </c>
      <c r="M61" s="418">
        <f>CIDE!B53</f>
        <v>0</v>
      </c>
      <c r="N61" s="418">
        <f>'LC 194 + 201'!B54</f>
        <v>0</v>
      </c>
      <c r="O61" s="418">
        <f>'LC 194 + 201'!D54</f>
        <v>0</v>
      </c>
    </row>
    <row r="62" spans="1:15" ht="15" customHeight="1">
      <c r="A62" s="151" t="s">
        <v>170</v>
      </c>
      <c r="B62" s="146">
        <v>0.26700000000000002</v>
      </c>
      <c r="C62" s="216">
        <f>ICMS!J55</f>
        <v>995156.45999999985</v>
      </c>
      <c r="D62" s="216">
        <f>ICMS!L55</f>
        <v>796125.16999999993</v>
      </c>
      <c r="E62" s="216" t="e">
        <f>#REF!</f>
        <v>#REF!</v>
      </c>
      <c r="F62" s="217" t="e">
        <f>#REF!</f>
        <v>#REF!</v>
      </c>
      <c r="G62" s="218" t="e">
        <f t="shared" si="2"/>
        <v>#REF!</v>
      </c>
      <c r="H62" s="219" t="e">
        <f t="shared" si="3"/>
        <v>#REF!</v>
      </c>
      <c r="I62" s="216">
        <f>IPI!C54</f>
        <v>11912.958132800002</v>
      </c>
      <c r="J62" s="216">
        <f>IPI!D54</f>
        <v>8965</v>
      </c>
      <c r="K62" s="216">
        <f>IPVA!J55</f>
        <v>52966.68</v>
      </c>
      <c r="L62" s="217">
        <f>IPVA!L55</f>
        <v>42373.41</v>
      </c>
      <c r="M62" s="418">
        <f>CIDE!B54</f>
        <v>0</v>
      </c>
      <c r="N62" s="418">
        <f>'LC 194 + 201'!B55</f>
        <v>0</v>
      </c>
      <c r="O62" s="418">
        <f>'LC 194 + 201'!D55</f>
        <v>0</v>
      </c>
    </row>
    <row r="63" spans="1:15" ht="15" customHeight="1">
      <c r="A63" s="151" t="s">
        <v>171</v>
      </c>
      <c r="B63" s="146">
        <v>1.3089999999999999</v>
      </c>
      <c r="C63" s="216">
        <f>ICMS!J56</f>
        <v>4878875.580000001</v>
      </c>
      <c r="D63" s="216">
        <f>ICMS!L56</f>
        <v>3903100.4700000016</v>
      </c>
      <c r="E63" s="216" t="e">
        <f>#REF!</f>
        <v>#REF!</v>
      </c>
      <c r="F63" s="217" t="e">
        <f>#REF!</f>
        <v>#REF!</v>
      </c>
      <c r="G63" s="218" t="e">
        <f t="shared" si="2"/>
        <v>#REF!</v>
      </c>
      <c r="H63" s="219" t="e">
        <f t="shared" si="3"/>
        <v>#REF!</v>
      </c>
      <c r="I63" s="216">
        <f>IPI!C55</f>
        <v>55579.6729968</v>
      </c>
      <c r="J63" s="216">
        <f>IPI!D55</f>
        <v>43951.94</v>
      </c>
      <c r="K63" s="216">
        <f>IPVA!J56</f>
        <v>226251.78999999998</v>
      </c>
      <c r="L63" s="217">
        <f>IPVA!L56</f>
        <v>181001.52999999997</v>
      </c>
      <c r="M63" s="418">
        <f>CIDE!B55</f>
        <v>0</v>
      </c>
      <c r="N63" s="418">
        <f>'LC 194 + 201'!B56</f>
        <v>0</v>
      </c>
      <c r="O63" s="418">
        <f>'LC 194 + 201'!D56</f>
        <v>0</v>
      </c>
    </row>
    <row r="64" spans="1:15" ht="15" customHeight="1">
      <c r="A64" s="151" t="s">
        <v>172</v>
      </c>
      <c r="B64" s="146">
        <v>0.45400000000000001</v>
      </c>
      <c r="C64" s="216">
        <f>ICMS!J57</f>
        <v>1692138.6500000001</v>
      </c>
      <c r="D64" s="216">
        <f>ICMS!L57</f>
        <v>1353710.9000000001</v>
      </c>
      <c r="E64" s="216" t="e">
        <f>#REF!</f>
        <v>#REF!</v>
      </c>
      <c r="F64" s="217" t="e">
        <f>#REF!</f>
        <v>#REF!</v>
      </c>
      <c r="G64" s="218" t="e">
        <f t="shared" si="2"/>
        <v>#REF!</v>
      </c>
      <c r="H64" s="219" t="e">
        <f t="shared" si="3"/>
        <v>#REF!</v>
      </c>
      <c r="I64" s="216">
        <f>IPI!C56</f>
        <v>18484.162796799999</v>
      </c>
      <c r="J64" s="216">
        <f>IPI!D56</f>
        <v>15243.850000000002</v>
      </c>
      <c r="K64" s="216">
        <f>IPVA!J57</f>
        <v>70200.479999999981</v>
      </c>
      <c r="L64" s="217">
        <f>IPVA!L57</f>
        <v>56160.469999999979</v>
      </c>
      <c r="M64" s="418">
        <f>CIDE!B56</f>
        <v>0</v>
      </c>
      <c r="N64" s="418">
        <f>'LC 194 + 201'!B57</f>
        <v>0</v>
      </c>
      <c r="O64" s="418">
        <f>'LC 194 + 201'!D57</f>
        <v>0</v>
      </c>
    </row>
    <row r="65" spans="1:19" ht="15" customHeight="1">
      <c r="A65" s="151" t="s">
        <v>173</v>
      </c>
      <c r="B65" s="146">
        <v>0.316</v>
      </c>
      <c r="C65" s="216">
        <f>ICMS!J58</f>
        <v>1177788.1300000004</v>
      </c>
      <c r="D65" s="216">
        <f>ICMS!L58</f>
        <v>942230.51000000047</v>
      </c>
      <c r="E65" s="216" t="e">
        <f>#REF!</f>
        <v>#REF!</v>
      </c>
      <c r="F65" s="217" t="e">
        <f>#REF!</f>
        <v>#REF!</v>
      </c>
      <c r="G65" s="218" t="e">
        <f t="shared" si="2"/>
        <v>#REF!</v>
      </c>
      <c r="H65" s="219" t="e">
        <f t="shared" si="3"/>
        <v>#REF!</v>
      </c>
      <c r="I65" s="216">
        <f>IPI!C57</f>
        <v>13015.2247216</v>
      </c>
      <c r="J65" s="216">
        <f>IPI!D57</f>
        <v>10610.25</v>
      </c>
      <c r="K65" s="216">
        <f>IPVA!J58</f>
        <v>84983.829999999987</v>
      </c>
      <c r="L65" s="217">
        <f>IPVA!L58</f>
        <v>67987.139999999985</v>
      </c>
      <c r="M65" s="418">
        <f>CIDE!B57</f>
        <v>0</v>
      </c>
      <c r="N65" s="418">
        <f>'LC 194 + 201'!B58</f>
        <v>0</v>
      </c>
      <c r="O65" s="418">
        <f>'LC 194 + 201'!D58</f>
        <v>0</v>
      </c>
    </row>
    <row r="66" spans="1:19" ht="15" customHeight="1">
      <c r="A66" s="151" t="s">
        <v>174</v>
      </c>
      <c r="B66" s="146">
        <v>0.76200000000000001</v>
      </c>
      <c r="C66" s="216">
        <f>ICMS!J59</f>
        <v>2840109.37</v>
      </c>
      <c r="D66" s="216">
        <f>ICMS!L59</f>
        <v>2272087.4700000002</v>
      </c>
      <c r="E66" s="216" t="e">
        <f>#REF!</f>
        <v>#REF!</v>
      </c>
      <c r="F66" s="217" t="e">
        <f>#REF!</f>
        <v>#REF!</v>
      </c>
      <c r="G66" s="218" t="e">
        <f t="shared" si="2"/>
        <v>#REF!</v>
      </c>
      <c r="H66" s="219" t="e">
        <f t="shared" si="3"/>
        <v>#REF!</v>
      </c>
      <c r="I66" s="216">
        <f>IPI!C58</f>
        <v>31033.0439616</v>
      </c>
      <c r="J66" s="216">
        <f>IPI!D58</f>
        <v>25585.48</v>
      </c>
      <c r="K66" s="216">
        <f>IPVA!J59</f>
        <v>87244.29</v>
      </c>
      <c r="L66" s="217">
        <f>IPVA!L59</f>
        <v>69795.5</v>
      </c>
      <c r="M66" s="418">
        <f>CIDE!B58</f>
        <v>0</v>
      </c>
      <c r="N66" s="418">
        <f>'LC 194 + 201'!B59</f>
        <v>0</v>
      </c>
      <c r="O66" s="418">
        <f>'LC 194 + 201'!D59</f>
        <v>0</v>
      </c>
    </row>
    <row r="67" spans="1:19" ht="15" customHeight="1">
      <c r="A67" s="151" t="s">
        <v>175</v>
      </c>
      <c r="B67" s="146">
        <v>0.26</v>
      </c>
      <c r="C67" s="216">
        <f>ICMS!J60</f>
        <v>969066.19000000006</v>
      </c>
      <c r="D67" s="216">
        <f>ICMS!L60</f>
        <v>775252.96000000008</v>
      </c>
      <c r="E67" s="216" t="e">
        <f>#REF!</f>
        <v>#REF!</v>
      </c>
      <c r="F67" s="217" t="e">
        <f>#REF!</f>
        <v>#REF!</v>
      </c>
      <c r="G67" s="218" t="e">
        <f t="shared" si="2"/>
        <v>#REF!</v>
      </c>
      <c r="H67" s="219" t="e">
        <f t="shared" si="3"/>
        <v>#REF!</v>
      </c>
      <c r="I67" s="216">
        <f>IPI!C59</f>
        <v>6020.0713695999993</v>
      </c>
      <c r="J67" s="216">
        <f>IPI!D59</f>
        <v>8729.9599999999991</v>
      </c>
      <c r="K67" s="216">
        <f>IPVA!J60</f>
        <v>213115.5</v>
      </c>
      <c r="L67" s="217">
        <f>IPVA!L60</f>
        <v>170492.48</v>
      </c>
      <c r="M67" s="418">
        <f>CIDE!B59</f>
        <v>0</v>
      </c>
      <c r="N67" s="418">
        <f>'LC 194 + 201'!B60</f>
        <v>0</v>
      </c>
      <c r="O67" s="418">
        <f>'LC 194 + 201'!D60</f>
        <v>0</v>
      </c>
    </row>
    <row r="68" spans="1:19" ht="15" customHeight="1">
      <c r="A68" s="151" t="s">
        <v>176</v>
      </c>
      <c r="B68" s="146">
        <v>0.214</v>
      </c>
      <c r="C68" s="216">
        <f>ICMS!J61</f>
        <v>797616.0199999999</v>
      </c>
      <c r="D68" s="216">
        <f>ICMS!L61</f>
        <v>638092.80999999982</v>
      </c>
      <c r="E68" s="216" t="e">
        <f>#REF!</f>
        <v>#REF!</v>
      </c>
      <c r="F68" s="217" t="e">
        <f>#REF!</f>
        <v>#REF!</v>
      </c>
      <c r="G68" s="218" t="e">
        <f t="shared" si="2"/>
        <v>#REF!</v>
      </c>
      <c r="H68" s="219" t="e">
        <f t="shared" si="3"/>
        <v>#REF!</v>
      </c>
      <c r="I68" s="216">
        <f>IPI!C60</f>
        <v>8860.5275791999993</v>
      </c>
      <c r="J68" s="216">
        <f>IPI!D60</f>
        <v>7185.42</v>
      </c>
      <c r="K68" s="216">
        <f>IPVA!J61</f>
        <v>24368.26</v>
      </c>
      <c r="L68" s="217">
        <f>IPVA!L61</f>
        <v>19494.68</v>
      </c>
      <c r="M68" s="418">
        <f>CIDE!B60</f>
        <v>0</v>
      </c>
      <c r="N68" s="418">
        <f>'LC 194 + 201'!B61</f>
        <v>0</v>
      </c>
      <c r="O68" s="418">
        <f>'LC 194 + 201'!D61</f>
        <v>0</v>
      </c>
    </row>
    <row r="69" spans="1:19" ht="15" customHeight="1">
      <c r="A69" s="151" t="s">
        <v>177</v>
      </c>
      <c r="B69" s="146">
        <v>0.39100000000000001</v>
      </c>
      <c r="C69" s="216">
        <f>ICMS!J62</f>
        <v>1457326.48</v>
      </c>
      <c r="D69" s="216">
        <f>ICMS!L62</f>
        <v>1165861.19</v>
      </c>
      <c r="E69" s="216" t="e">
        <f>#REF!</f>
        <v>#REF!</v>
      </c>
      <c r="F69" s="217" t="e">
        <f>#REF!</f>
        <v>#REF!</v>
      </c>
      <c r="G69" s="218" t="e">
        <f t="shared" si="2"/>
        <v>#REF!</v>
      </c>
      <c r="H69" s="219" t="e">
        <f t="shared" si="3"/>
        <v>#REF!</v>
      </c>
      <c r="I69" s="216">
        <f>IPI!C61</f>
        <v>13566.358016</v>
      </c>
      <c r="J69" s="216">
        <f>IPI!D61</f>
        <v>13128.499999999998</v>
      </c>
      <c r="K69" s="216">
        <f>IPVA!J62</f>
        <v>145427.97</v>
      </c>
      <c r="L69" s="217">
        <f>IPVA!L62</f>
        <v>116342.47</v>
      </c>
      <c r="M69" s="418">
        <f>CIDE!B61</f>
        <v>0</v>
      </c>
      <c r="N69" s="418">
        <f>'LC 194 + 201'!B62</f>
        <v>0</v>
      </c>
      <c r="O69" s="418">
        <f>'LC 194 + 201'!D62</f>
        <v>0</v>
      </c>
    </row>
    <row r="70" spans="1:19" ht="15" customHeight="1">
      <c r="A70" s="151" t="s">
        <v>178</v>
      </c>
      <c r="B70" s="146">
        <v>0.90300000000000002</v>
      </c>
      <c r="C70" s="216">
        <f>ICMS!J63</f>
        <v>3365641.4499999997</v>
      </c>
      <c r="D70" s="216">
        <f>ICMS!L63</f>
        <v>2692513.15</v>
      </c>
      <c r="E70" s="216" t="e">
        <f>#REF!</f>
        <v>#REF!</v>
      </c>
      <c r="F70" s="217" t="e">
        <f>#REF!</f>
        <v>#REF!</v>
      </c>
      <c r="G70" s="218" t="e">
        <f t="shared" si="2"/>
        <v>#REF!</v>
      </c>
      <c r="H70" s="219" t="e">
        <f t="shared" si="3"/>
        <v>#REF!</v>
      </c>
      <c r="I70" s="216">
        <f>IPI!C62</f>
        <v>36205.217955199994</v>
      </c>
      <c r="J70" s="216">
        <f>IPI!D62</f>
        <v>30319.8</v>
      </c>
      <c r="K70" s="216">
        <f>IPVA!J63</f>
        <v>217885.93999999997</v>
      </c>
      <c r="L70" s="217">
        <f>IPVA!L63</f>
        <v>174308.83999999997</v>
      </c>
      <c r="M70" s="418">
        <f>CIDE!B62</f>
        <v>0</v>
      </c>
      <c r="N70" s="418">
        <f>'LC 194 + 201'!B63</f>
        <v>0</v>
      </c>
      <c r="O70" s="418">
        <f>'LC 194 + 201'!D63</f>
        <v>0</v>
      </c>
    </row>
    <row r="71" spans="1:19" ht="15" customHeight="1">
      <c r="A71" s="151" t="s">
        <v>179</v>
      </c>
      <c r="B71" s="146">
        <v>0.25900000000000001</v>
      </c>
      <c r="C71" s="216">
        <f>ICMS!J64</f>
        <v>965339.01</v>
      </c>
      <c r="D71" s="216">
        <f>ICMS!L64</f>
        <v>772271.18</v>
      </c>
      <c r="E71" s="216" t="e">
        <f>#REF!</f>
        <v>#REF!</v>
      </c>
      <c r="F71" s="217" t="e">
        <f>#REF!</f>
        <v>#REF!</v>
      </c>
      <c r="G71" s="218" t="e">
        <f t="shared" si="2"/>
        <v>#REF!</v>
      </c>
      <c r="H71" s="219" t="e">
        <f t="shared" si="3"/>
        <v>#REF!</v>
      </c>
      <c r="I71" s="216">
        <f>IPI!C63</f>
        <v>10598.717199999999</v>
      </c>
      <c r="J71" s="216">
        <f>IPI!D63</f>
        <v>8696.369999999999</v>
      </c>
      <c r="K71" s="216">
        <f>IPVA!J64</f>
        <v>54606.73000000001</v>
      </c>
      <c r="L71" s="217">
        <f>IPVA!L64</f>
        <v>43685.48000000001</v>
      </c>
      <c r="M71" s="418">
        <f>CIDE!B63</f>
        <v>0</v>
      </c>
      <c r="N71" s="418">
        <f>'LC 194 + 201'!B64</f>
        <v>0</v>
      </c>
      <c r="O71" s="418">
        <f>'LC 194 + 201'!D64</f>
        <v>0</v>
      </c>
      <c r="S71" s="211"/>
    </row>
    <row r="72" spans="1:19" ht="15" customHeight="1">
      <c r="A72" s="151" t="s">
        <v>180</v>
      </c>
      <c r="B72" s="146">
        <v>0.52500000000000002</v>
      </c>
      <c r="C72" s="216">
        <f>ICMS!J65</f>
        <v>1956768.2800000003</v>
      </c>
      <c r="D72" s="216">
        <f>ICMS!L65</f>
        <v>1565414.6000000003</v>
      </c>
      <c r="E72" s="216" t="e">
        <f>#REF!</f>
        <v>#REF!</v>
      </c>
      <c r="F72" s="217" t="e">
        <f>#REF!</f>
        <v>#REF!</v>
      </c>
      <c r="G72" s="218" t="e">
        <f t="shared" si="2"/>
        <v>#REF!</v>
      </c>
      <c r="H72" s="219" t="e">
        <f t="shared" si="3"/>
        <v>#REF!</v>
      </c>
      <c r="I72" s="216">
        <f>IPI!C64</f>
        <v>23105.203495999998</v>
      </c>
      <c r="J72" s="216">
        <f>IPI!D64</f>
        <v>17627.79</v>
      </c>
      <c r="K72" s="216">
        <f>IPVA!J65</f>
        <v>69921.040000000008</v>
      </c>
      <c r="L72" s="217">
        <f>IPVA!L65</f>
        <v>55936.900000000009</v>
      </c>
      <c r="M72" s="418">
        <f>CIDE!B64</f>
        <v>0</v>
      </c>
      <c r="N72" s="418">
        <f>'LC 194 + 201'!B65</f>
        <v>0</v>
      </c>
      <c r="O72" s="418">
        <f>'LC 194 + 201'!D65</f>
        <v>0</v>
      </c>
    </row>
    <row r="73" spans="1:19" ht="15" customHeight="1">
      <c r="A73" s="151" t="s">
        <v>181</v>
      </c>
      <c r="B73" s="146">
        <v>2.34</v>
      </c>
      <c r="C73" s="216">
        <f>ICMS!J66</f>
        <v>8721595.7399999984</v>
      </c>
      <c r="D73" s="216">
        <f>ICMS!L66</f>
        <v>6977276.6099999985</v>
      </c>
      <c r="E73" s="216" t="e">
        <f>#REF!</f>
        <v>#REF!</v>
      </c>
      <c r="F73" s="217" t="e">
        <f>#REF!</f>
        <v>#REF!</v>
      </c>
      <c r="G73" s="218" t="e">
        <f t="shared" si="2"/>
        <v>#REF!</v>
      </c>
      <c r="H73" s="219" t="e">
        <f t="shared" si="3"/>
        <v>#REF!</v>
      </c>
      <c r="I73" s="216">
        <f>IPI!C65</f>
        <v>94752.531767999986</v>
      </c>
      <c r="J73" s="216">
        <f>IPI!D65</f>
        <v>78569.570000000007</v>
      </c>
      <c r="K73" s="216">
        <f>IPVA!J66</f>
        <v>627662.60000000009</v>
      </c>
      <c r="L73" s="217">
        <f>IPVA!L66</f>
        <v>502130.16000000009</v>
      </c>
      <c r="M73" s="418">
        <f>CIDE!B65</f>
        <v>0</v>
      </c>
      <c r="N73" s="418">
        <f>'LC 194 + 201'!B66</f>
        <v>0</v>
      </c>
      <c r="O73" s="418">
        <f>'LC 194 + 201'!D66</f>
        <v>0</v>
      </c>
    </row>
    <row r="74" spans="1:19" ht="15" customHeight="1">
      <c r="A74" s="151" t="s">
        <v>182</v>
      </c>
      <c r="B74" s="146">
        <v>0.629</v>
      </c>
      <c r="C74" s="216">
        <f>ICMS!J67</f>
        <v>2344394.7600000002</v>
      </c>
      <c r="D74" s="216">
        <f>ICMS!L67</f>
        <v>1875515.7800000003</v>
      </c>
      <c r="E74" s="216" t="e">
        <f>#REF!</f>
        <v>#REF!</v>
      </c>
      <c r="F74" s="217" t="e">
        <f>#REF!</f>
        <v>#REF!</v>
      </c>
      <c r="G74" s="218" t="e">
        <f t="shared" si="2"/>
        <v>#REF!</v>
      </c>
      <c r="H74" s="219" t="e">
        <f t="shared" si="3"/>
        <v>#REF!</v>
      </c>
      <c r="I74" s="216">
        <f>IPI!C66</f>
        <v>27599.059588799999</v>
      </c>
      <c r="J74" s="216">
        <f>IPI!D66</f>
        <v>21119.77</v>
      </c>
      <c r="K74" s="216">
        <f>IPVA!J67</f>
        <v>140254.49</v>
      </c>
      <c r="L74" s="217">
        <f>IPVA!L67</f>
        <v>112203.65</v>
      </c>
      <c r="M74" s="418">
        <f>CIDE!B66</f>
        <v>0</v>
      </c>
      <c r="N74" s="418">
        <f>'LC 194 + 201'!B67</f>
        <v>0</v>
      </c>
      <c r="O74" s="418">
        <f>'LC 194 + 201'!D67</f>
        <v>0</v>
      </c>
    </row>
    <row r="75" spans="1:19" ht="15" customHeight="1">
      <c r="A75" s="151" t="s">
        <v>183</v>
      </c>
      <c r="B75" s="146">
        <v>0.40400000000000003</v>
      </c>
      <c r="C75" s="216">
        <f>ICMS!J68</f>
        <v>1505779.7899999998</v>
      </c>
      <c r="D75" s="216">
        <f>ICMS!L68</f>
        <v>1204623.8299999998</v>
      </c>
      <c r="E75" s="216" t="e">
        <f>#REF!</f>
        <v>#REF!</v>
      </c>
      <c r="F75" s="217" t="e">
        <f>#REF!</f>
        <v>#REF!</v>
      </c>
      <c r="G75" s="218" t="e">
        <f t="shared" ref="G75:G88" si="4">C75+E75</f>
        <v>#REF!</v>
      </c>
      <c r="H75" s="219" t="e">
        <f t="shared" ref="H75:H88" si="5">D75+F75</f>
        <v>#REF!</v>
      </c>
      <c r="I75" s="216">
        <f>IPI!C67</f>
        <v>17933.029502400001</v>
      </c>
      <c r="J75" s="216">
        <f>IPI!D67</f>
        <v>13565</v>
      </c>
      <c r="K75" s="216">
        <f>IPVA!J68</f>
        <v>59105.400000000009</v>
      </c>
      <c r="L75" s="217">
        <f>IPVA!L68</f>
        <v>47284.380000000005</v>
      </c>
      <c r="M75" s="418">
        <f>CIDE!B67</f>
        <v>0</v>
      </c>
      <c r="N75" s="418">
        <f>'LC 194 + 201'!B68</f>
        <v>0</v>
      </c>
      <c r="O75" s="418">
        <f>'LC 194 + 201'!D68</f>
        <v>0</v>
      </c>
    </row>
    <row r="76" spans="1:19" ht="15" customHeight="1">
      <c r="A76" s="151" t="s">
        <v>184</v>
      </c>
      <c r="B76" s="146">
        <v>0.80200000000000005</v>
      </c>
      <c r="C76" s="216">
        <f>ICMS!J69</f>
        <v>2989196.4899999993</v>
      </c>
      <c r="D76" s="216">
        <f>ICMS!L69</f>
        <v>2391357.2199999993</v>
      </c>
      <c r="E76" s="216" t="e">
        <f>#REF!</f>
        <v>#REF!</v>
      </c>
      <c r="F76" s="217" t="e">
        <f>#REF!</f>
        <v>#REF!</v>
      </c>
      <c r="G76" s="218" t="e">
        <f t="shared" si="4"/>
        <v>#REF!</v>
      </c>
      <c r="H76" s="219" t="e">
        <f t="shared" si="5"/>
        <v>#REF!</v>
      </c>
      <c r="I76" s="216">
        <f>IPI!C68</f>
        <v>36120.428217599998</v>
      </c>
      <c r="J76" s="216">
        <f>IPI!D68</f>
        <v>26928.539999999997</v>
      </c>
      <c r="K76" s="216">
        <f>IPVA!J69</f>
        <v>160362.53999999998</v>
      </c>
      <c r="L76" s="217">
        <f>IPVA!L69</f>
        <v>128290.11999999998</v>
      </c>
      <c r="M76" s="418">
        <f>CIDE!B68</f>
        <v>0</v>
      </c>
      <c r="N76" s="418">
        <f>'LC 194 + 201'!B69</f>
        <v>0</v>
      </c>
      <c r="O76" s="418">
        <f>'LC 194 + 201'!D69</f>
        <v>0</v>
      </c>
    </row>
    <row r="77" spans="1:19" ht="15" customHeight="1">
      <c r="A77" s="151" t="s">
        <v>185</v>
      </c>
      <c r="B77" s="146">
        <v>0.23400000000000001</v>
      </c>
      <c r="C77" s="216">
        <f>ICMS!J70</f>
        <v>872159.57999999984</v>
      </c>
      <c r="D77" s="216">
        <f>ICMS!L70</f>
        <v>697727.6599999998</v>
      </c>
      <c r="E77" s="216" t="e">
        <f>#REF!</f>
        <v>#REF!</v>
      </c>
      <c r="F77" s="217" t="e">
        <f>#REF!</f>
        <v>#REF!</v>
      </c>
      <c r="G77" s="218" t="e">
        <f t="shared" si="4"/>
        <v>#REF!</v>
      </c>
      <c r="H77" s="219" t="e">
        <f t="shared" si="5"/>
        <v>#REF!</v>
      </c>
      <c r="I77" s="216">
        <f>IPI!C69</f>
        <v>9581.2403488</v>
      </c>
      <c r="J77" s="216">
        <f>IPI!D69</f>
        <v>7856.95</v>
      </c>
      <c r="K77" s="216">
        <f>IPVA!J70</f>
        <v>66059.600000000006</v>
      </c>
      <c r="L77" s="217">
        <f>IPVA!L70</f>
        <v>52847.73000000001</v>
      </c>
      <c r="M77" s="418">
        <f>CIDE!B69</f>
        <v>0</v>
      </c>
      <c r="N77" s="418">
        <f>'LC 194 + 201'!B70</f>
        <v>0</v>
      </c>
      <c r="O77" s="418">
        <f>'LC 194 + 201'!D70</f>
        <v>0</v>
      </c>
    </row>
    <row r="78" spans="1:19" ht="15" customHeight="1">
      <c r="A78" s="151" t="s">
        <v>186</v>
      </c>
      <c r="B78" s="146">
        <v>1.952</v>
      </c>
      <c r="C78" s="216">
        <f>ICMS!J71</f>
        <v>7275450.8000000007</v>
      </c>
      <c r="D78" s="216">
        <f>ICMS!L71</f>
        <v>5820360.620000001</v>
      </c>
      <c r="E78" s="216" t="e">
        <f>#REF!</f>
        <v>#REF!</v>
      </c>
      <c r="F78" s="217" t="e">
        <f>#REF!</f>
        <v>#REF!</v>
      </c>
      <c r="G78" s="218" t="e">
        <f t="shared" si="4"/>
        <v>#REF!</v>
      </c>
      <c r="H78" s="219" t="e">
        <f t="shared" si="5"/>
        <v>#REF!</v>
      </c>
      <c r="I78" s="216">
        <f>IPI!C70</f>
        <v>80592.645588799991</v>
      </c>
      <c r="J78" s="216">
        <f>IPI!D70</f>
        <v>65541.78</v>
      </c>
      <c r="K78" s="216">
        <f>IPVA!J71</f>
        <v>866948.67</v>
      </c>
      <c r="L78" s="217">
        <f>IPVA!L71</f>
        <v>693559.01</v>
      </c>
      <c r="M78" s="418">
        <f>CIDE!B70</f>
        <v>0</v>
      </c>
      <c r="N78" s="418">
        <f>'LC 194 + 201'!B71</f>
        <v>0</v>
      </c>
      <c r="O78" s="418">
        <f>'LC 194 + 201'!D71</f>
        <v>0</v>
      </c>
    </row>
    <row r="79" spans="1:19" ht="15" customHeight="1">
      <c r="A79" s="151" t="s">
        <v>187</v>
      </c>
      <c r="B79" s="146">
        <v>0.29699999999999999</v>
      </c>
      <c r="C79" s="216">
        <f>ICMS!J72</f>
        <v>1106971.79</v>
      </c>
      <c r="D79" s="216">
        <f>ICMS!L72</f>
        <v>885577.43</v>
      </c>
      <c r="E79" s="216" t="e">
        <f>#REF!</f>
        <v>#REF!</v>
      </c>
      <c r="F79" s="217" t="e">
        <f>#REF!</f>
        <v>#REF!</v>
      </c>
      <c r="G79" s="218" t="e">
        <f t="shared" si="4"/>
        <v>#REF!</v>
      </c>
      <c r="H79" s="219" t="e">
        <f t="shared" si="5"/>
        <v>#REF!</v>
      </c>
      <c r="I79" s="216">
        <f>IPI!C71</f>
        <v>13227.1990656</v>
      </c>
      <c r="J79" s="216">
        <f>IPI!D71</f>
        <v>9972.2900000000009</v>
      </c>
      <c r="K79" s="216">
        <f>IPVA!J72</f>
        <v>53785.909999999989</v>
      </c>
      <c r="L79" s="217">
        <f>IPVA!L72</f>
        <v>43028.80999999999</v>
      </c>
      <c r="M79" s="418">
        <f>CIDE!B71</f>
        <v>0</v>
      </c>
      <c r="N79" s="418">
        <f>'LC 194 + 201'!B72</f>
        <v>0</v>
      </c>
      <c r="O79" s="418">
        <f>'LC 194 + 201'!D72</f>
        <v>0</v>
      </c>
    </row>
    <row r="80" spans="1:19" ht="15" customHeight="1">
      <c r="A80" s="151" t="s">
        <v>188</v>
      </c>
      <c r="B80" s="146">
        <v>14.689</v>
      </c>
      <c r="C80" s="216">
        <f>ICMS!J73</f>
        <v>54748512.750000007</v>
      </c>
      <c r="D80" s="216">
        <f>ICMS!L73</f>
        <v>43798810.210000008</v>
      </c>
      <c r="E80" s="216" t="e">
        <f>#REF!</f>
        <v>#REF!</v>
      </c>
      <c r="F80" s="217" t="e">
        <f>#REF!</f>
        <v>#REF!</v>
      </c>
      <c r="G80" s="218" t="e">
        <f t="shared" si="4"/>
        <v>#REF!</v>
      </c>
      <c r="H80" s="219" t="e">
        <f t="shared" si="5"/>
        <v>#REF!</v>
      </c>
      <c r="I80" s="216">
        <f>IPI!C72</f>
        <v>662419.82499999995</v>
      </c>
      <c r="J80" s="216">
        <f>IPI!D72</f>
        <v>493208.68</v>
      </c>
      <c r="K80" s="216">
        <f>IPVA!J73</f>
        <v>2975921.9</v>
      </c>
      <c r="L80" s="217">
        <f>IPVA!L73</f>
        <v>2380737.58</v>
      </c>
      <c r="M80" s="418">
        <f>CIDE!B72</f>
        <v>0</v>
      </c>
      <c r="N80" s="418">
        <f>'LC 194 + 201'!B73</f>
        <v>0</v>
      </c>
      <c r="O80" s="418">
        <f>'LC 194 + 201'!D73</f>
        <v>0</v>
      </c>
    </row>
    <row r="81" spans="1:20" ht="15" customHeight="1">
      <c r="A81" s="151" t="s">
        <v>189</v>
      </c>
      <c r="B81" s="146">
        <v>0.72799999999999998</v>
      </c>
      <c r="C81" s="216">
        <f>ICMS!J74</f>
        <v>2713385.3500000006</v>
      </c>
      <c r="D81" s="216">
        <f>ICMS!L74</f>
        <v>2170708.2700000005</v>
      </c>
      <c r="E81" s="216" t="e">
        <f>#REF!</f>
        <v>#REF!</v>
      </c>
      <c r="F81" s="217" t="e">
        <f>#REF!</f>
        <v>#REF!</v>
      </c>
      <c r="G81" s="218" t="e">
        <f t="shared" si="4"/>
        <v>#REF!</v>
      </c>
      <c r="H81" s="219" t="e">
        <f t="shared" si="5"/>
        <v>#REF!</v>
      </c>
      <c r="I81" s="216">
        <f>IPI!C73</f>
        <v>30609.0952736</v>
      </c>
      <c r="J81" s="216">
        <f>IPI!D73</f>
        <v>24443.86</v>
      </c>
      <c r="K81" s="216">
        <f>IPVA!J74</f>
        <v>95831.34</v>
      </c>
      <c r="L81" s="217">
        <f>IPVA!L74</f>
        <v>76665.159999999989</v>
      </c>
      <c r="M81" s="418">
        <f>CIDE!B73</f>
        <v>0</v>
      </c>
      <c r="N81" s="418">
        <f>'LC 194 + 201'!B74</f>
        <v>0</v>
      </c>
      <c r="O81" s="418">
        <f>'LC 194 + 201'!D74</f>
        <v>0</v>
      </c>
    </row>
    <row r="82" spans="1:20" ht="15" customHeight="1">
      <c r="A82" s="151" t="s">
        <v>190</v>
      </c>
      <c r="B82" s="146">
        <v>0.48599999999999999</v>
      </c>
      <c r="C82" s="216">
        <f>ICMS!J75</f>
        <v>1811408.3599999996</v>
      </c>
      <c r="D82" s="216">
        <f>ICMS!L75</f>
        <v>1449126.6799999997</v>
      </c>
      <c r="E82" s="216" t="e">
        <f>#REF!</f>
        <v>#REF!</v>
      </c>
      <c r="F82" s="217" t="e">
        <f>#REF!</f>
        <v>#REF!</v>
      </c>
      <c r="G82" s="218" t="e">
        <f t="shared" si="4"/>
        <v>#REF!</v>
      </c>
      <c r="H82" s="219" t="e">
        <f t="shared" si="5"/>
        <v>#REF!</v>
      </c>
      <c r="I82" s="216">
        <f>IPI!C74</f>
        <v>20815.8805808</v>
      </c>
      <c r="J82" s="216">
        <f>IPI!D74</f>
        <v>16318.289999999999</v>
      </c>
      <c r="K82" s="216">
        <f>IPVA!J75</f>
        <v>138561.16</v>
      </c>
      <c r="L82" s="217">
        <f>IPVA!L75</f>
        <v>110849</v>
      </c>
      <c r="M82" s="418">
        <f>CIDE!B74</f>
        <v>0</v>
      </c>
      <c r="N82" s="418">
        <f>'LC 194 + 201'!B75</f>
        <v>0</v>
      </c>
      <c r="O82" s="418">
        <f>'LC 194 + 201'!D75</f>
        <v>0</v>
      </c>
    </row>
    <row r="83" spans="1:20" ht="15" customHeight="1">
      <c r="A83" s="151" t="s">
        <v>191</v>
      </c>
      <c r="B83" s="146">
        <v>0.61899999999999999</v>
      </c>
      <c r="C83" s="216">
        <f>ICMS!J76</f>
        <v>2307122.9799999995</v>
      </c>
      <c r="D83" s="216">
        <f>ICMS!L76</f>
        <v>1845698.3799999994</v>
      </c>
      <c r="E83" s="216" t="e">
        <f>#REF!</f>
        <v>#REF!</v>
      </c>
      <c r="F83" s="217" t="e">
        <f>#REF!</f>
        <v>#REF!</v>
      </c>
      <c r="G83" s="218" t="e">
        <f t="shared" si="4"/>
        <v>#REF!</v>
      </c>
      <c r="H83" s="219" t="e">
        <f t="shared" si="5"/>
        <v>#REF!</v>
      </c>
      <c r="I83" s="216">
        <f>IPI!C75</f>
        <v>29125.2748656</v>
      </c>
      <c r="J83" s="216">
        <f>IPI!D75</f>
        <v>20784.009999999998</v>
      </c>
      <c r="K83" s="216">
        <f>IPVA!J76</f>
        <v>214933.30000000005</v>
      </c>
      <c r="L83" s="217">
        <f>IPVA!L76</f>
        <v>171946.69000000006</v>
      </c>
      <c r="M83" s="418">
        <f>CIDE!B75</f>
        <v>0</v>
      </c>
      <c r="N83" s="418">
        <f>'LC 194 + 201'!B76</f>
        <v>0</v>
      </c>
      <c r="O83" s="418">
        <f>'LC 194 + 201'!D76</f>
        <v>0</v>
      </c>
    </row>
    <row r="84" spans="1:20" ht="15" customHeight="1">
      <c r="A84" s="151" t="s">
        <v>192</v>
      </c>
      <c r="B84" s="146">
        <v>2.823</v>
      </c>
      <c r="C84" s="216">
        <f>ICMS!J77</f>
        <v>10521822.549999999</v>
      </c>
      <c r="D84" s="216">
        <f>ICMS!L77</f>
        <v>8417458.0499999989</v>
      </c>
      <c r="E84" s="216" t="e">
        <f>#REF!</f>
        <v>#REF!</v>
      </c>
      <c r="F84" s="217" t="e">
        <f>#REF!</f>
        <v>#REF!</v>
      </c>
      <c r="G84" s="218" t="e">
        <f t="shared" si="4"/>
        <v>#REF!</v>
      </c>
      <c r="H84" s="219" t="e">
        <f t="shared" si="5"/>
        <v>#REF!</v>
      </c>
      <c r="I84" s="216">
        <f>IPI!C76</f>
        <v>126633.4731056</v>
      </c>
      <c r="J84" s="216">
        <f>IPI!D76</f>
        <v>94787.12000000001</v>
      </c>
      <c r="K84" s="216">
        <f>IPVA!J77</f>
        <v>741251.82</v>
      </c>
      <c r="L84" s="217">
        <f>IPVA!L77</f>
        <v>593001.54</v>
      </c>
      <c r="M84" s="418">
        <f>CIDE!B76</f>
        <v>0</v>
      </c>
      <c r="N84" s="418">
        <f>'LC 194 + 201'!B77</f>
        <v>0</v>
      </c>
      <c r="O84" s="418">
        <f>'LC 194 + 201'!D77</f>
        <v>0</v>
      </c>
    </row>
    <row r="85" spans="1:20" ht="15" customHeight="1">
      <c r="A85" s="151" t="s">
        <v>193</v>
      </c>
      <c r="B85" s="146">
        <v>0.313</v>
      </c>
      <c r="C85" s="216">
        <f>ICMS!J78</f>
        <v>1166606.6099999999</v>
      </c>
      <c r="D85" s="216">
        <f>ICMS!L78</f>
        <v>933285.29999999981</v>
      </c>
      <c r="E85" s="216" t="e">
        <f>#REF!</f>
        <v>#REF!</v>
      </c>
      <c r="F85" s="217" t="e">
        <f>#REF!</f>
        <v>#REF!</v>
      </c>
      <c r="G85" s="218" t="e">
        <f t="shared" si="4"/>
        <v>#REF!</v>
      </c>
      <c r="H85" s="219" t="e">
        <f t="shared" si="5"/>
        <v>#REF!</v>
      </c>
      <c r="I85" s="216">
        <f>IPI!C77</f>
        <v>13523.9631472</v>
      </c>
      <c r="J85" s="216">
        <f>IPI!D77</f>
        <v>10509.52</v>
      </c>
      <c r="K85" s="216">
        <f>IPVA!J78</f>
        <v>51652.65</v>
      </c>
      <c r="L85" s="217">
        <f>IPVA!L78</f>
        <v>41322.19</v>
      </c>
      <c r="M85" s="418">
        <f>CIDE!B77</f>
        <v>0</v>
      </c>
      <c r="N85" s="418">
        <f>'LC 194 + 201'!B78</f>
        <v>0</v>
      </c>
      <c r="O85" s="418">
        <f>'LC 194 + 201'!D78</f>
        <v>0</v>
      </c>
    </row>
    <row r="86" spans="1:20" ht="15" customHeight="1">
      <c r="A86" s="151" t="s">
        <v>194</v>
      </c>
      <c r="B86" s="146">
        <v>0.64300000000000002</v>
      </c>
      <c r="C86" s="216">
        <f>ICMS!J79</f>
        <v>2396575.25</v>
      </c>
      <c r="D86" s="216">
        <f>ICMS!L79</f>
        <v>1917260.19</v>
      </c>
      <c r="E86" s="216" t="e">
        <f>#REF!</f>
        <v>#REF!</v>
      </c>
      <c r="F86" s="217" t="e">
        <f>#REF!</f>
        <v>#REF!</v>
      </c>
      <c r="G86" s="218" t="e">
        <f t="shared" si="4"/>
        <v>#REF!</v>
      </c>
      <c r="H86" s="219" t="e">
        <f t="shared" si="5"/>
        <v>#REF!</v>
      </c>
      <c r="I86" s="216">
        <f>IPI!C78</f>
        <v>27895.823670399997</v>
      </c>
      <c r="J86" s="216">
        <f>IPI!D78</f>
        <v>21589.840000000004</v>
      </c>
      <c r="K86" s="216">
        <f>IPVA!J79</f>
        <v>102413.42000000001</v>
      </c>
      <c r="L86" s="217">
        <f>IPVA!L79</f>
        <v>81930.800000000017</v>
      </c>
      <c r="M86" s="418">
        <f>CIDE!B78</f>
        <v>0</v>
      </c>
      <c r="N86" s="418">
        <f>'LC 194 + 201'!B79</f>
        <v>0</v>
      </c>
      <c r="O86" s="418">
        <f>'LC 194 + 201'!D79</f>
        <v>0</v>
      </c>
    </row>
    <row r="87" spans="1:20" ht="15" customHeight="1">
      <c r="A87" s="151" t="s">
        <v>195</v>
      </c>
      <c r="B87" s="146">
        <v>4.97</v>
      </c>
      <c r="C87" s="216">
        <f>ICMS!J80</f>
        <v>18524072.999999996</v>
      </c>
      <c r="D87" s="216">
        <f>ICMS!L80</f>
        <v>14819258.399999997</v>
      </c>
      <c r="E87" s="216" t="e">
        <f>#REF!</f>
        <v>#REF!</v>
      </c>
      <c r="F87" s="217" t="e">
        <f>#REF!</f>
        <v>#REF!</v>
      </c>
      <c r="G87" s="218" t="e">
        <f t="shared" si="4"/>
        <v>#REF!</v>
      </c>
      <c r="H87" s="219" t="e">
        <f t="shared" si="5"/>
        <v>#REF!</v>
      </c>
      <c r="I87" s="216">
        <f>IPI!C79</f>
        <v>214348.4566528</v>
      </c>
      <c r="J87" s="216">
        <f>IPI!D79</f>
        <v>166876.37999999998</v>
      </c>
      <c r="K87" s="216">
        <f>IPVA!J80</f>
        <v>3308572.0600000005</v>
      </c>
      <c r="L87" s="217">
        <f>IPVA!L80</f>
        <v>2646857.7400000002</v>
      </c>
      <c r="M87" s="418">
        <f>CIDE!B79</f>
        <v>0</v>
      </c>
      <c r="N87" s="418">
        <f>'LC 194 + 201'!B80</f>
        <v>0</v>
      </c>
      <c r="O87" s="418">
        <f>'LC 194 + 201'!D80</f>
        <v>0</v>
      </c>
      <c r="S87" s="115">
        <v>363144906.25</v>
      </c>
      <c r="T87" s="115">
        <v>290515925.10000002</v>
      </c>
    </row>
    <row r="88" spans="1:20" ht="15" customHeight="1">
      <c r="A88" s="152" t="s">
        <v>196</v>
      </c>
      <c r="B88" s="146">
        <v>13.843</v>
      </c>
      <c r="C88" s="220">
        <f>ICMS!J81</f>
        <v>51595320.259999998</v>
      </c>
      <c r="D88" s="220">
        <f>ICMS!L81</f>
        <v>41276256.390000001</v>
      </c>
      <c r="E88" s="220" t="e">
        <f>#REF!</f>
        <v>#REF!</v>
      </c>
      <c r="F88" s="221" t="e">
        <f>#REF!</f>
        <v>#REF!</v>
      </c>
      <c r="G88" s="222" t="e">
        <f t="shared" si="4"/>
        <v>#REF!</v>
      </c>
      <c r="H88" s="223" t="e">
        <f t="shared" si="5"/>
        <v>#REF!</v>
      </c>
      <c r="I88" s="220">
        <f>IPI!C80</f>
        <v>626680.95060159999</v>
      </c>
      <c r="J88" s="220">
        <f>IPI!D80</f>
        <v>464802.73</v>
      </c>
      <c r="K88" s="220">
        <f>IPVA!J81</f>
        <v>3806159.68</v>
      </c>
      <c r="L88" s="221">
        <f>IPVA!L81</f>
        <v>3044927.8000000003</v>
      </c>
      <c r="M88" s="419">
        <f>CIDE!B80</f>
        <v>0</v>
      </c>
      <c r="N88" s="419">
        <f>'LC 194 + 201'!B81</f>
        <v>0</v>
      </c>
      <c r="O88" s="419">
        <f>'LC 194 + 201'!D81</f>
        <v>0</v>
      </c>
    </row>
    <row r="89" spans="1:20" ht="17.25" customHeight="1">
      <c r="A89" s="124" t="s">
        <v>2</v>
      </c>
      <c r="B89" s="153">
        <v>1.0000000000000002</v>
      </c>
      <c r="C89" s="211">
        <f>SUM(C11:C88)</f>
        <v>372717766.6500001</v>
      </c>
      <c r="D89" s="211">
        <f t="shared" ref="D89:O89" si="6">SUM(D11:D88)</f>
        <v>298174213.39000005</v>
      </c>
      <c r="E89" s="211" t="e">
        <f t="shared" si="6"/>
        <v>#REF!</v>
      </c>
      <c r="F89" s="211" t="e">
        <f t="shared" si="6"/>
        <v>#REF!</v>
      </c>
      <c r="G89" s="211" t="e">
        <f t="shared" si="6"/>
        <v>#REF!</v>
      </c>
      <c r="H89" s="211" t="e">
        <f t="shared" si="6"/>
        <v>#REF!</v>
      </c>
      <c r="I89" s="211">
        <f t="shared" si="6"/>
        <v>4239486.88</v>
      </c>
      <c r="J89" s="211">
        <f t="shared" si="6"/>
        <v>3357673.63</v>
      </c>
      <c r="K89" s="211">
        <f t="shared" si="6"/>
        <v>28547590.139999993</v>
      </c>
      <c r="L89" s="211">
        <f t="shared" si="6"/>
        <v>22838078.070000004</v>
      </c>
      <c r="M89" s="420">
        <f t="shared" si="6"/>
        <v>0</v>
      </c>
      <c r="N89" s="420">
        <f t="shared" si="6"/>
        <v>0</v>
      </c>
      <c r="O89" s="420">
        <f t="shared" si="6"/>
        <v>0</v>
      </c>
    </row>
    <row r="90" spans="1:20" ht="27" customHeight="1">
      <c r="A90" s="137" t="s">
        <v>271</v>
      </c>
      <c r="B90" s="226"/>
      <c r="C90" s="129"/>
      <c r="D90" s="129"/>
      <c r="E90" s="129"/>
      <c r="F90" s="129"/>
      <c r="G90" s="129"/>
      <c r="H90" s="129"/>
      <c r="I90" s="129"/>
      <c r="J90" s="129"/>
      <c r="K90" s="437" t="s">
        <v>197</v>
      </c>
      <c r="L90" s="437"/>
      <c r="M90" s="437"/>
      <c r="N90" s="437"/>
      <c r="O90" s="437"/>
    </row>
    <row r="91" spans="1:20" ht="15" customHeight="1">
      <c r="A91" s="422" t="s">
        <v>317</v>
      </c>
      <c r="B91" s="422"/>
      <c r="C91" s="422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</row>
    <row r="92" spans="1:20" ht="15" customHeight="1">
      <c r="A92" s="422" t="s">
        <v>397</v>
      </c>
      <c r="B92" s="422"/>
      <c r="C92" s="422"/>
      <c r="D92" s="422"/>
      <c r="E92" s="422"/>
      <c r="F92" s="422"/>
      <c r="G92" s="422"/>
      <c r="H92" s="422"/>
      <c r="I92" s="422"/>
      <c r="J92" s="422"/>
      <c r="K92" s="422"/>
      <c r="L92" s="422"/>
      <c r="M92" s="422"/>
      <c r="N92" s="422"/>
      <c r="O92" s="422"/>
    </row>
    <row r="93" spans="1:20" ht="12.75">
      <c r="A93" s="422" t="s">
        <v>422</v>
      </c>
      <c r="B93" s="422"/>
      <c r="C93" s="422"/>
      <c r="D93" s="422"/>
      <c r="E93" s="422"/>
      <c r="F93" s="422"/>
      <c r="G93" s="422"/>
      <c r="H93" s="422"/>
      <c r="I93" s="422"/>
      <c r="J93" s="422"/>
      <c r="K93" s="422"/>
      <c r="L93" s="422"/>
      <c r="M93" s="422"/>
      <c r="N93" s="422"/>
      <c r="O93" s="422"/>
    </row>
    <row r="94" spans="1:20" ht="12.75">
      <c r="A94" s="422" t="s">
        <v>423</v>
      </c>
      <c r="B94" s="422"/>
      <c r="C94" s="422"/>
      <c r="D94" s="422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</row>
    <row r="95" spans="1:20" ht="15" customHeight="1">
      <c r="A95" s="422" t="s">
        <v>396</v>
      </c>
      <c r="B95" s="422"/>
      <c r="C95" s="422"/>
      <c r="D95" s="422"/>
      <c r="E95" s="422"/>
      <c r="F95" s="422"/>
      <c r="G95" s="422"/>
      <c r="H95" s="422"/>
      <c r="I95" s="422"/>
      <c r="J95" s="422"/>
      <c r="K95" s="422"/>
      <c r="L95" s="422"/>
      <c r="M95" s="422"/>
    </row>
    <row r="96" spans="1:20" s="176" customFormat="1" ht="15" customHeight="1">
      <c r="A96" s="425" t="s">
        <v>376</v>
      </c>
      <c r="B96" s="425"/>
      <c r="C96" s="425"/>
      <c r="D96" s="425"/>
      <c r="E96" s="425"/>
      <c r="F96" s="425"/>
      <c r="G96" s="425"/>
      <c r="H96" s="425"/>
      <c r="I96" s="425"/>
      <c r="J96" s="425"/>
      <c r="K96" s="425"/>
      <c r="L96" s="425"/>
      <c r="M96" s="425"/>
    </row>
    <row r="97" spans="1:17" ht="15" hidden="1" customHeight="1">
      <c r="A97" s="425"/>
      <c r="B97" s="425"/>
      <c r="C97" s="425"/>
      <c r="D97" s="425"/>
      <c r="E97" s="425"/>
      <c r="F97" s="425"/>
      <c r="G97" s="425"/>
      <c r="H97" s="425"/>
      <c r="I97" s="425"/>
      <c r="J97" s="425"/>
      <c r="K97" s="425"/>
      <c r="L97" s="425"/>
      <c r="M97" s="425"/>
    </row>
    <row r="98" spans="1:17" s="265" customFormat="1" ht="15" customHeight="1">
      <c r="A98" s="427" t="str">
        <f>SUBSTITUTE(A1," I "," II ")</f>
        <v>Anexo II da Ordem de Serviço SUBSET nº 24, de 18 de março de 2024</v>
      </c>
      <c r="B98" s="427"/>
      <c r="C98" s="427"/>
      <c r="D98" s="427"/>
      <c r="E98" s="427"/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36" t="s">
        <v>318</v>
      </c>
      <c r="Q98" s="436"/>
    </row>
    <row r="99" spans="1:17" ht="15" customHeight="1">
      <c r="A99" s="427" t="s">
        <v>116</v>
      </c>
      <c r="B99" s="427"/>
      <c r="C99" s="427"/>
      <c r="D99" s="427"/>
      <c r="E99" s="427"/>
      <c r="F99" s="427"/>
      <c r="G99" s="427"/>
      <c r="H99" s="427"/>
      <c r="I99" s="427"/>
      <c r="J99" s="427"/>
      <c r="K99" s="427"/>
      <c r="L99" s="427"/>
      <c r="M99" s="427"/>
      <c r="N99" s="427"/>
      <c r="O99" s="427"/>
      <c r="P99" s="116">
        <f>C186-ICMS!N82</f>
        <v>0</v>
      </c>
      <c r="Q99" s="118">
        <f>D186-ICMS!P82</f>
        <v>0</v>
      </c>
    </row>
    <row r="100" spans="1:17" ht="15" customHeight="1">
      <c r="A100" s="427" t="s">
        <v>117</v>
      </c>
      <c r="B100" s="427"/>
      <c r="C100" s="427"/>
      <c r="D100" s="427"/>
      <c r="E100" s="427"/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  <c r="P100" s="116">
        <f>K186-IPVA!N85</f>
        <v>0</v>
      </c>
      <c r="Q100" s="118">
        <f>L186-IPVA!P85</f>
        <v>0</v>
      </c>
    </row>
    <row r="101" spans="1:17" ht="15" customHeight="1">
      <c r="A101" s="427" t="s">
        <v>118</v>
      </c>
      <c r="B101" s="427"/>
      <c r="C101" s="427"/>
      <c r="D101" s="427"/>
      <c r="E101" s="427"/>
      <c r="F101" s="427"/>
      <c r="G101" s="427"/>
      <c r="H101" s="427"/>
      <c r="I101" s="427"/>
      <c r="J101" s="427"/>
      <c r="K101" s="427"/>
      <c r="L101" s="427"/>
      <c r="M101" s="427"/>
      <c r="N101" s="427"/>
      <c r="O101" s="427"/>
    </row>
    <row r="102" spans="1:17" ht="15" customHeight="1">
      <c r="A102" s="427" t="str">
        <f>A5</f>
        <v>DISTRIBUIÇÃO DE ICMS, IPI, IPVA e CIDE ÀS PREFEITURAS MUNICIPAIS - FEVEREIRO/2024</v>
      </c>
      <c r="B102" s="427"/>
      <c r="C102" s="427"/>
      <c r="D102" s="427"/>
      <c r="E102" s="427"/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</row>
    <row r="103" spans="1:17" ht="15" customHeight="1">
      <c r="A103" s="428" t="s">
        <v>311</v>
      </c>
      <c r="B103" s="428"/>
      <c r="C103" s="428"/>
      <c r="D103" s="428"/>
      <c r="E103" s="428"/>
      <c r="F103" s="428"/>
      <c r="G103" s="428"/>
      <c r="H103" s="428"/>
      <c r="I103" s="428"/>
      <c r="J103" s="428"/>
      <c r="K103" s="428"/>
      <c r="L103" s="428"/>
      <c r="M103" s="428"/>
      <c r="N103" s="428"/>
      <c r="O103" s="428"/>
    </row>
    <row r="104" spans="1:17" ht="15" customHeight="1"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O104" s="328"/>
    </row>
    <row r="105" spans="1:17" ht="15" customHeight="1">
      <c r="A105" s="429" t="s">
        <v>332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O105" s="305" t="s">
        <v>312</v>
      </c>
    </row>
    <row r="106" spans="1:17" ht="23.25" customHeight="1">
      <c r="A106" s="423" t="s">
        <v>119</v>
      </c>
      <c r="B106" s="423" t="s">
        <v>514</v>
      </c>
      <c r="C106" s="431" t="s">
        <v>272</v>
      </c>
      <c r="D106" s="432"/>
      <c r="E106" s="431" t="s">
        <v>198</v>
      </c>
      <c r="F106" s="432"/>
      <c r="G106" s="431" t="s">
        <v>120</v>
      </c>
      <c r="H106" s="432"/>
      <c r="I106" s="431" t="s">
        <v>273</v>
      </c>
      <c r="J106" s="432"/>
      <c r="K106" s="431" t="s">
        <v>274</v>
      </c>
      <c r="L106" s="432"/>
      <c r="M106" s="423" t="s">
        <v>421</v>
      </c>
      <c r="N106" s="431" t="s">
        <v>383</v>
      </c>
      <c r="O106" s="432"/>
    </row>
    <row r="107" spans="1:17" ht="15" customHeight="1">
      <c r="A107" s="433"/>
      <c r="B107" s="433"/>
      <c r="C107" s="123" t="s">
        <v>269</v>
      </c>
      <c r="D107" s="123" t="s">
        <v>270</v>
      </c>
      <c r="E107" s="123" t="s">
        <v>269</v>
      </c>
      <c r="F107" s="123" t="s">
        <v>270</v>
      </c>
      <c r="G107" s="122" t="s">
        <v>269</v>
      </c>
      <c r="H107" s="122" t="s">
        <v>270</v>
      </c>
      <c r="I107" s="123" t="s">
        <v>269</v>
      </c>
      <c r="J107" s="123" t="s">
        <v>270</v>
      </c>
      <c r="K107" s="123" t="s">
        <v>269</v>
      </c>
      <c r="L107" s="123" t="s">
        <v>270</v>
      </c>
      <c r="M107" s="424"/>
      <c r="N107" s="182" t="s">
        <v>269</v>
      </c>
      <c r="O107" s="181" t="s">
        <v>270</v>
      </c>
    </row>
    <row r="108" spans="1:17" ht="15" customHeight="1">
      <c r="A108" s="151" t="s">
        <v>121</v>
      </c>
      <c r="B108" s="327">
        <v>0.73199999999999998</v>
      </c>
      <c r="C108" s="138">
        <f>ICMS!N4</f>
        <v>141239.72</v>
      </c>
      <c r="D108" s="139">
        <f>ICMS!P4</f>
        <v>112991.78</v>
      </c>
      <c r="E108" s="157">
        <v>720.16</v>
      </c>
      <c r="F108" s="139">
        <v>576.13</v>
      </c>
      <c r="G108" s="140">
        <f t="shared" ref="G108:G171" si="7">C108+E108</f>
        <v>141959.88</v>
      </c>
      <c r="H108" s="141">
        <f t="shared" ref="H108:H171" si="8">D108+F108</f>
        <v>113567.91</v>
      </c>
      <c r="I108" s="138">
        <f>IPI!C93</f>
        <v>0</v>
      </c>
      <c r="J108" s="138">
        <f>IPI!D93</f>
        <v>0</v>
      </c>
      <c r="K108" s="138">
        <f>IPVA!N4</f>
        <v>22422.080000000002</v>
      </c>
      <c r="L108" s="139">
        <f>IPVA!P4</f>
        <v>17937.669999999998</v>
      </c>
      <c r="M108" s="174">
        <f>CIDE!A99</f>
        <v>0</v>
      </c>
      <c r="N108" s="174">
        <f>CIDE!C99</f>
        <v>0</v>
      </c>
      <c r="O108" s="174">
        <f>CIDE!D99</f>
        <v>0</v>
      </c>
    </row>
    <row r="109" spans="1:17" ht="15" customHeight="1">
      <c r="A109" s="151" t="s">
        <v>122</v>
      </c>
      <c r="B109" s="146">
        <v>0.28199999999999997</v>
      </c>
      <c r="C109" s="142">
        <f>ICMS!N5</f>
        <v>54412.020000000004</v>
      </c>
      <c r="D109" s="143">
        <f>ICMS!P5</f>
        <v>43529.609999999993</v>
      </c>
      <c r="E109" s="158">
        <v>270.95999999999998</v>
      </c>
      <c r="F109" s="143">
        <v>216.77</v>
      </c>
      <c r="G109" s="144">
        <f t="shared" si="7"/>
        <v>54682.98</v>
      </c>
      <c r="H109" s="145">
        <f t="shared" si="8"/>
        <v>43746.37999999999</v>
      </c>
      <c r="I109" s="142">
        <f>IPI!C94</f>
        <v>0</v>
      </c>
      <c r="J109" s="142">
        <f>IPI!D94</f>
        <v>0</v>
      </c>
      <c r="K109" s="142">
        <f>IPVA!N5</f>
        <v>4944.72</v>
      </c>
      <c r="L109" s="143">
        <f>IPVA!P5</f>
        <v>3955.79</v>
      </c>
      <c r="M109" s="175">
        <f>CIDE!A100</f>
        <v>0</v>
      </c>
      <c r="N109" s="175">
        <f>CIDE!C100</f>
        <v>0</v>
      </c>
      <c r="O109" s="175">
        <f>CIDE!D100</f>
        <v>0</v>
      </c>
    </row>
    <row r="110" spans="1:17" ht="15" customHeight="1">
      <c r="A110" s="151" t="s">
        <v>123</v>
      </c>
      <c r="B110" s="146">
        <v>0.46</v>
      </c>
      <c r="C110" s="142">
        <f>ICMS!N6</f>
        <v>88757.189999999988</v>
      </c>
      <c r="D110" s="143">
        <f>ICMS!P6</f>
        <v>71005.760000000009</v>
      </c>
      <c r="E110" s="158">
        <v>374.48</v>
      </c>
      <c r="F110" s="143">
        <v>299.58</v>
      </c>
      <c r="G110" s="144">
        <f t="shared" si="7"/>
        <v>89131.669999999984</v>
      </c>
      <c r="H110" s="145">
        <f t="shared" si="8"/>
        <v>71305.340000000011</v>
      </c>
      <c r="I110" s="142">
        <f>IPI!C95</f>
        <v>0</v>
      </c>
      <c r="J110" s="142">
        <f>IPI!D95</f>
        <v>0</v>
      </c>
      <c r="K110" s="142">
        <f>IPVA!N6</f>
        <v>4700.45</v>
      </c>
      <c r="L110" s="143">
        <f>IPVA!P6</f>
        <v>3760.37</v>
      </c>
      <c r="M110" s="175">
        <f>CIDE!A101</f>
        <v>0</v>
      </c>
      <c r="N110" s="175">
        <f>CIDE!C101</f>
        <v>0</v>
      </c>
      <c r="O110" s="175">
        <f>CIDE!D101</f>
        <v>0</v>
      </c>
    </row>
    <row r="111" spans="1:17" ht="15" customHeight="1">
      <c r="A111" s="151" t="s">
        <v>124</v>
      </c>
      <c r="B111" s="146">
        <v>0.46800000000000003</v>
      </c>
      <c r="C111" s="142">
        <f>ICMS!N7</f>
        <v>90300.800000000003</v>
      </c>
      <c r="D111" s="143">
        <f>ICMS!P7</f>
        <v>72240.639999999999</v>
      </c>
      <c r="E111" s="158">
        <v>459.1</v>
      </c>
      <c r="F111" s="143">
        <v>367.28000000000003</v>
      </c>
      <c r="G111" s="144">
        <f t="shared" si="7"/>
        <v>90759.900000000009</v>
      </c>
      <c r="H111" s="145">
        <f t="shared" si="8"/>
        <v>72607.92</v>
      </c>
      <c r="I111" s="142">
        <f>IPI!C96</f>
        <v>0</v>
      </c>
      <c r="J111" s="142">
        <f>IPI!D96</f>
        <v>0</v>
      </c>
      <c r="K111" s="142">
        <f>IPVA!N7</f>
        <v>14602.73</v>
      </c>
      <c r="L111" s="143">
        <f>IPVA!P7</f>
        <v>11682.189999999999</v>
      </c>
      <c r="M111" s="175">
        <f>CIDE!A102</f>
        <v>0</v>
      </c>
      <c r="N111" s="175">
        <f>CIDE!C102</f>
        <v>0</v>
      </c>
      <c r="O111" s="175">
        <f>CIDE!D102</f>
        <v>0</v>
      </c>
    </row>
    <row r="112" spans="1:17" ht="15" customHeight="1">
      <c r="A112" s="151" t="s">
        <v>125</v>
      </c>
      <c r="B112" s="146">
        <v>0.45800000000000002</v>
      </c>
      <c r="C112" s="142">
        <f>ICMS!N8</f>
        <v>88371.290000000008</v>
      </c>
      <c r="D112" s="143">
        <f>ICMS!P8</f>
        <v>70697.039999999994</v>
      </c>
      <c r="E112" s="158">
        <v>441.1</v>
      </c>
      <c r="F112" s="143">
        <v>352.88</v>
      </c>
      <c r="G112" s="144">
        <f t="shared" si="7"/>
        <v>88812.390000000014</v>
      </c>
      <c r="H112" s="145">
        <f t="shared" si="8"/>
        <v>71049.919999999998</v>
      </c>
      <c r="I112" s="142">
        <f>IPI!C97</f>
        <v>0</v>
      </c>
      <c r="J112" s="142">
        <f>IPI!D97</f>
        <v>0</v>
      </c>
      <c r="K112" s="142">
        <f>IPVA!N8</f>
        <v>27262.58</v>
      </c>
      <c r="L112" s="143">
        <f>IPVA!P8</f>
        <v>21810.080000000002</v>
      </c>
      <c r="M112" s="175">
        <f>CIDE!A103</f>
        <v>0</v>
      </c>
      <c r="N112" s="175">
        <f>CIDE!C103</f>
        <v>0</v>
      </c>
      <c r="O112" s="175">
        <f>CIDE!D103</f>
        <v>0</v>
      </c>
    </row>
    <row r="113" spans="1:15" ht="15" customHeight="1">
      <c r="A113" s="151" t="s">
        <v>126</v>
      </c>
      <c r="B113" s="146">
        <v>0.23</v>
      </c>
      <c r="C113" s="142">
        <f>ICMS!N9</f>
        <v>44378.599999999991</v>
      </c>
      <c r="D113" s="143">
        <f>ICMS!P9</f>
        <v>35502.870000000003</v>
      </c>
      <c r="E113" s="158">
        <v>207.94000000000003</v>
      </c>
      <c r="F113" s="143">
        <v>166.35</v>
      </c>
      <c r="G113" s="144">
        <f t="shared" si="7"/>
        <v>44586.539999999994</v>
      </c>
      <c r="H113" s="145">
        <f t="shared" si="8"/>
        <v>35669.22</v>
      </c>
      <c r="I113" s="142">
        <f>IPI!C98</f>
        <v>0</v>
      </c>
      <c r="J113" s="142">
        <f>IPI!D98</f>
        <v>0</v>
      </c>
      <c r="K113" s="142">
        <f>IPVA!N9</f>
        <v>1498.94</v>
      </c>
      <c r="L113" s="143">
        <f>IPVA!P9</f>
        <v>1199.1600000000001</v>
      </c>
      <c r="M113" s="175">
        <f>CIDE!A104</f>
        <v>0</v>
      </c>
      <c r="N113" s="175">
        <f>CIDE!C104</f>
        <v>0</v>
      </c>
      <c r="O113" s="175">
        <f>CIDE!D104</f>
        <v>0</v>
      </c>
    </row>
    <row r="114" spans="1:15" ht="15" customHeight="1">
      <c r="A114" s="151" t="s">
        <v>127</v>
      </c>
      <c r="B114" s="146">
        <v>4.2549999999999999</v>
      </c>
      <c r="C114" s="142">
        <f>ICMS!N10</f>
        <v>821004.06</v>
      </c>
      <c r="D114" s="143">
        <f>ICMS!P10</f>
        <v>656803.25</v>
      </c>
      <c r="E114" s="158">
        <v>1589.75</v>
      </c>
      <c r="F114" s="143">
        <v>1271.7999999999997</v>
      </c>
      <c r="G114" s="144">
        <f t="shared" si="7"/>
        <v>822593.81</v>
      </c>
      <c r="H114" s="145">
        <f t="shared" si="8"/>
        <v>658075.05000000005</v>
      </c>
      <c r="I114" s="142">
        <f>IPI!C99</f>
        <v>0</v>
      </c>
      <c r="J114" s="142">
        <f>IPI!D99</f>
        <v>0</v>
      </c>
      <c r="K114" s="142">
        <f>IPVA!N10</f>
        <v>22431.38</v>
      </c>
      <c r="L114" s="143">
        <f>IPVA!P10</f>
        <v>17945.11</v>
      </c>
      <c r="M114" s="175">
        <f>CIDE!A105</f>
        <v>0</v>
      </c>
      <c r="N114" s="175">
        <f>CIDE!C105</f>
        <v>0</v>
      </c>
      <c r="O114" s="175">
        <f>CIDE!D105</f>
        <v>0</v>
      </c>
    </row>
    <row r="115" spans="1:15" ht="15" customHeight="1">
      <c r="A115" s="151" t="s">
        <v>128</v>
      </c>
      <c r="B115" s="146">
        <v>0.188</v>
      </c>
      <c r="C115" s="142">
        <f>ICMS!N11</f>
        <v>36274.68</v>
      </c>
      <c r="D115" s="143">
        <f>ICMS!P11</f>
        <v>29019.750000000004</v>
      </c>
      <c r="E115" s="158">
        <v>166.54000000000002</v>
      </c>
      <c r="F115" s="143">
        <v>133.22999999999999</v>
      </c>
      <c r="G115" s="144">
        <f t="shared" si="7"/>
        <v>36441.22</v>
      </c>
      <c r="H115" s="145">
        <f t="shared" si="8"/>
        <v>29152.980000000003</v>
      </c>
      <c r="I115" s="142">
        <f>IPI!C100</f>
        <v>0</v>
      </c>
      <c r="J115" s="142">
        <f>IPI!D100</f>
        <v>0</v>
      </c>
      <c r="K115" s="142">
        <f>IPVA!N11</f>
        <v>9130.56</v>
      </c>
      <c r="L115" s="143">
        <f>IPVA!P11</f>
        <v>7304.4500000000007</v>
      </c>
      <c r="M115" s="175">
        <f>CIDE!A106</f>
        <v>0</v>
      </c>
      <c r="N115" s="175">
        <f>CIDE!C106</f>
        <v>0</v>
      </c>
      <c r="O115" s="175">
        <f>CIDE!D106</f>
        <v>0</v>
      </c>
    </row>
    <row r="116" spans="1:15" ht="15" customHeight="1">
      <c r="A116" s="151" t="s">
        <v>129</v>
      </c>
      <c r="B116" s="146">
        <v>3.7869999999999999</v>
      </c>
      <c r="C116" s="142">
        <f>ICMS!N12</f>
        <v>730703.26</v>
      </c>
      <c r="D116" s="143">
        <f>ICMS!P12</f>
        <v>584562.61</v>
      </c>
      <c r="E116" s="158">
        <v>4492.8999999999996</v>
      </c>
      <c r="F116" s="143">
        <v>3594.3200000000006</v>
      </c>
      <c r="G116" s="144">
        <f t="shared" si="7"/>
        <v>735196.16000000003</v>
      </c>
      <c r="H116" s="145">
        <f t="shared" si="8"/>
        <v>588156.92999999993</v>
      </c>
      <c r="I116" s="142">
        <f>IPI!C101</f>
        <v>0</v>
      </c>
      <c r="J116" s="142">
        <f>IPI!D101</f>
        <v>0</v>
      </c>
      <c r="K116" s="142">
        <f>IPVA!N12</f>
        <v>71207.13</v>
      </c>
      <c r="L116" s="143">
        <f>IPVA!P12</f>
        <v>56965.71</v>
      </c>
      <c r="M116" s="175">
        <f>CIDE!A107</f>
        <v>0</v>
      </c>
      <c r="N116" s="175">
        <f>CIDE!C107</f>
        <v>0</v>
      </c>
      <c r="O116" s="175">
        <f>CIDE!D107</f>
        <v>0</v>
      </c>
    </row>
    <row r="117" spans="1:15" ht="15" customHeight="1">
      <c r="A117" s="151" t="s">
        <v>130</v>
      </c>
      <c r="B117" s="146">
        <v>0.32400000000000001</v>
      </c>
      <c r="C117" s="142">
        <f>ICMS!N13</f>
        <v>62515.94</v>
      </c>
      <c r="D117" s="143">
        <f>ICMS!P13</f>
        <v>50012.75</v>
      </c>
      <c r="E117" s="158">
        <v>335.78</v>
      </c>
      <c r="F117" s="143">
        <v>268.63</v>
      </c>
      <c r="G117" s="144">
        <f t="shared" si="7"/>
        <v>62851.72</v>
      </c>
      <c r="H117" s="145">
        <f t="shared" si="8"/>
        <v>50281.38</v>
      </c>
      <c r="I117" s="142">
        <f>IPI!C102</f>
        <v>0</v>
      </c>
      <c r="J117" s="142">
        <f>IPI!D102</f>
        <v>0</v>
      </c>
      <c r="K117" s="142">
        <f>IPVA!N13</f>
        <v>4481.4400000000005</v>
      </c>
      <c r="L117" s="143">
        <f>IPVA!P13</f>
        <v>3585.16</v>
      </c>
      <c r="M117" s="175">
        <f>CIDE!A108</f>
        <v>0</v>
      </c>
      <c r="N117" s="175">
        <f>CIDE!C108</f>
        <v>0</v>
      </c>
      <c r="O117" s="175">
        <f>CIDE!D108</f>
        <v>0</v>
      </c>
    </row>
    <row r="118" spans="1:15" ht="15" customHeight="1">
      <c r="A118" s="151" t="s">
        <v>131</v>
      </c>
      <c r="B118" s="146">
        <v>0.59299999999999997</v>
      </c>
      <c r="C118" s="142">
        <f>ICMS!N14</f>
        <v>114419.59999999999</v>
      </c>
      <c r="D118" s="143">
        <f>ICMS!P14</f>
        <v>91535.679999999993</v>
      </c>
      <c r="E118" s="158">
        <v>578.83000000000004</v>
      </c>
      <c r="F118" s="143">
        <v>463.06</v>
      </c>
      <c r="G118" s="144">
        <f t="shared" si="7"/>
        <v>114998.43</v>
      </c>
      <c r="H118" s="145">
        <f t="shared" si="8"/>
        <v>91998.739999999991</v>
      </c>
      <c r="I118" s="142">
        <f>IPI!C103</f>
        <v>0</v>
      </c>
      <c r="J118" s="142">
        <f>IPI!D103</f>
        <v>0</v>
      </c>
      <c r="K118" s="142">
        <f>IPVA!N14</f>
        <v>24233.230000000003</v>
      </c>
      <c r="L118" s="143">
        <f>IPVA!P14</f>
        <v>19386.59</v>
      </c>
      <c r="M118" s="175">
        <f>CIDE!A109</f>
        <v>0</v>
      </c>
      <c r="N118" s="175">
        <f>CIDE!C109</f>
        <v>0</v>
      </c>
      <c r="O118" s="175">
        <f>CIDE!D109</f>
        <v>0</v>
      </c>
    </row>
    <row r="119" spans="1:15" ht="15" customHeight="1">
      <c r="A119" s="151" t="s">
        <v>132</v>
      </c>
      <c r="B119" s="146">
        <v>0.88400000000000001</v>
      </c>
      <c r="C119" s="142">
        <f>ICMS!N15</f>
        <v>170568.18</v>
      </c>
      <c r="D119" s="143">
        <f>ICMS!P15</f>
        <v>136454.54</v>
      </c>
      <c r="E119" s="158">
        <v>932.6099999999999</v>
      </c>
      <c r="F119" s="143">
        <v>746.08999999999992</v>
      </c>
      <c r="G119" s="144">
        <f t="shared" si="7"/>
        <v>171500.78999999998</v>
      </c>
      <c r="H119" s="145">
        <f t="shared" si="8"/>
        <v>137200.63</v>
      </c>
      <c r="I119" s="142">
        <f>IPI!C104</f>
        <v>0</v>
      </c>
      <c r="J119" s="142">
        <f>IPI!D104</f>
        <v>0</v>
      </c>
      <c r="K119" s="142">
        <f>IPVA!N15</f>
        <v>40770.74</v>
      </c>
      <c r="L119" s="143">
        <f>IPVA!P15</f>
        <v>32616.600000000002</v>
      </c>
      <c r="M119" s="175">
        <f>CIDE!A110</f>
        <v>0</v>
      </c>
      <c r="N119" s="175">
        <f>CIDE!C110</f>
        <v>0</v>
      </c>
      <c r="O119" s="175">
        <f>CIDE!D110</f>
        <v>0</v>
      </c>
    </row>
    <row r="120" spans="1:15" ht="15" customHeight="1">
      <c r="A120" s="151" t="s">
        <v>133</v>
      </c>
      <c r="B120" s="146">
        <v>0.41899999999999998</v>
      </c>
      <c r="C120" s="142">
        <f>ICMS!N16</f>
        <v>80846.23000000001</v>
      </c>
      <c r="D120" s="143">
        <f>ICMS!P16</f>
        <v>64676.98</v>
      </c>
      <c r="E120" s="158">
        <v>359.18</v>
      </c>
      <c r="F120" s="143">
        <v>287.34999999999997</v>
      </c>
      <c r="G120" s="144">
        <f t="shared" si="7"/>
        <v>81205.41</v>
      </c>
      <c r="H120" s="145">
        <f t="shared" si="8"/>
        <v>64964.33</v>
      </c>
      <c r="I120" s="142">
        <f>IPI!C105</f>
        <v>0</v>
      </c>
      <c r="J120" s="142">
        <f>IPI!D105</f>
        <v>0</v>
      </c>
      <c r="K120" s="142">
        <f>IPVA!N16</f>
        <v>10266.66</v>
      </c>
      <c r="L120" s="143">
        <f>IPVA!P16</f>
        <v>8213.33</v>
      </c>
      <c r="M120" s="175">
        <f>CIDE!A111</f>
        <v>0</v>
      </c>
      <c r="N120" s="175">
        <f>CIDE!C111</f>
        <v>0</v>
      </c>
      <c r="O120" s="175">
        <f>CIDE!D111</f>
        <v>0</v>
      </c>
    </row>
    <row r="121" spans="1:15" ht="15" customHeight="1">
      <c r="A121" s="151" t="s">
        <v>134</v>
      </c>
      <c r="B121" s="146">
        <v>0.16700000000000001</v>
      </c>
      <c r="C121" s="142">
        <f>ICMS!N17</f>
        <v>32222.719999999998</v>
      </c>
      <c r="D121" s="143">
        <f>ICMS!P17</f>
        <v>25778.179999999997</v>
      </c>
      <c r="E121" s="158">
        <v>158.44</v>
      </c>
      <c r="F121" s="143">
        <v>126.75999999999999</v>
      </c>
      <c r="G121" s="144">
        <f t="shared" si="7"/>
        <v>32381.159999999996</v>
      </c>
      <c r="H121" s="145">
        <f t="shared" si="8"/>
        <v>25904.939999999995</v>
      </c>
      <c r="I121" s="142">
        <f>IPI!C106</f>
        <v>0</v>
      </c>
      <c r="J121" s="142">
        <f>IPI!D106</f>
        <v>0</v>
      </c>
      <c r="K121" s="142">
        <f>IPVA!N17</f>
        <v>19715.78</v>
      </c>
      <c r="L121" s="143">
        <f>IPVA!P17</f>
        <v>15772.63</v>
      </c>
      <c r="M121" s="175">
        <f>CIDE!A112</f>
        <v>0</v>
      </c>
      <c r="N121" s="175">
        <f>CIDE!C112</f>
        <v>0</v>
      </c>
      <c r="O121" s="175">
        <f>CIDE!D112</f>
        <v>0</v>
      </c>
    </row>
    <row r="122" spans="1:15" ht="15" customHeight="1">
      <c r="A122" s="151" t="s">
        <v>135</v>
      </c>
      <c r="B122" s="146">
        <v>0.41599999999999998</v>
      </c>
      <c r="C122" s="142">
        <f>ICMS!N18</f>
        <v>80267.38</v>
      </c>
      <c r="D122" s="143">
        <f>ICMS!P18</f>
        <v>64213.91</v>
      </c>
      <c r="E122" s="158">
        <v>378.99</v>
      </c>
      <c r="F122" s="143">
        <v>303.19000000000005</v>
      </c>
      <c r="G122" s="144">
        <f t="shared" si="7"/>
        <v>80646.37000000001</v>
      </c>
      <c r="H122" s="145">
        <f t="shared" si="8"/>
        <v>64517.100000000006</v>
      </c>
      <c r="I122" s="142">
        <f>IPI!C107</f>
        <v>0</v>
      </c>
      <c r="J122" s="142">
        <f>IPI!D107</f>
        <v>0</v>
      </c>
      <c r="K122" s="142">
        <f>IPVA!N18</f>
        <v>3333.92</v>
      </c>
      <c r="L122" s="143">
        <f>IPVA!P18</f>
        <v>2667.14</v>
      </c>
      <c r="M122" s="175">
        <f>CIDE!A113</f>
        <v>0</v>
      </c>
      <c r="N122" s="175">
        <f>CIDE!C113</f>
        <v>0</v>
      </c>
      <c r="O122" s="175">
        <f>CIDE!D113</f>
        <v>0</v>
      </c>
    </row>
    <row r="123" spans="1:15" ht="15" customHeight="1">
      <c r="A123" s="151" t="s">
        <v>136</v>
      </c>
      <c r="B123" s="146">
        <v>2.7570000000000001</v>
      </c>
      <c r="C123" s="142">
        <f>ICMS!N19</f>
        <v>531964.31999999995</v>
      </c>
      <c r="D123" s="143">
        <f>ICMS!P19</f>
        <v>425571.45</v>
      </c>
      <c r="E123" s="158">
        <v>2911.25</v>
      </c>
      <c r="F123" s="143">
        <v>2329</v>
      </c>
      <c r="G123" s="144">
        <f t="shared" si="7"/>
        <v>534875.56999999995</v>
      </c>
      <c r="H123" s="145">
        <f t="shared" si="8"/>
        <v>427900.45</v>
      </c>
      <c r="I123" s="142">
        <f>IPI!C108</f>
        <v>0</v>
      </c>
      <c r="J123" s="142">
        <f>IPI!D108</f>
        <v>0</v>
      </c>
      <c r="K123" s="142">
        <f>IPVA!N19</f>
        <v>190359.53</v>
      </c>
      <c r="L123" s="143">
        <f>IPVA!P19</f>
        <v>152287.63</v>
      </c>
      <c r="M123" s="175">
        <f>CIDE!A114</f>
        <v>0</v>
      </c>
      <c r="N123" s="175">
        <f>CIDE!C114</f>
        <v>0</v>
      </c>
      <c r="O123" s="175">
        <f>CIDE!D114</f>
        <v>0</v>
      </c>
    </row>
    <row r="124" spans="1:15" ht="15" customHeight="1">
      <c r="A124" s="151" t="s">
        <v>137</v>
      </c>
      <c r="B124" s="146">
        <v>7.1219999999999999</v>
      </c>
      <c r="C124" s="142">
        <f>ICMS!N20</f>
        <v>1374192.92</v>
      </c>
      <c r="D124" s="143">
        <f>ICMS!P20</f>
        <v>1099354.3400000001</v>
      </c>
      <c r="E124" s="158">
        <v>6748.8000000000011</v>
      </c>
      <c r="F124" s="143">
        <v>5399.05</v>
      </c>
      <c r="G124" s="144">
        <f t="shared" si="7"/>
        <v>1380941.72</v>
      </c>
      <c r="H124" s="145">
        <f t="shared" si="8"/>
        <v>1104753.3900000001</v>
      </c>
      <c r="I124" s="142">
        <f>IPI!C109</f>
        <v>0</v>
      </c>
      <c r="J124" s="142">
        <f>IPI!D109</f>
        <v>0</v>
      </c>
      <c r="K124" s="142">
        <f>IPVA!N20</f>
        <v>870397.32000000007</v>
      </c>
      <c r="L124" s="143">
        <f>IPVA!P20</f>
        <v>696317.87</v>
      </c>
      <c r="M124" s="175">
        <f>CIDE!A115</f>
        <v>0</v>
      </c>
      <c r="N124" s="175">
        <f>CIDE!C115</f>
        <v>0</v>
      </c>
      <c r="O124" s="175">
        <f>CIDE!D115</f>
        <v>0</v>
      </c>
    </row>
    <row r="125" spans="1:15" ht="15" customHeight="1">
      <c r="A125" s="151" t="s">
        <v>138</v>
      </c>
      <c r="B125" s="146">
        <v>0.82899999999999996</v>
      </c>
      <c r="C125" s="142">
        <f>ICMS!N21</f>
        <v>159955.89999999997</v>
      </c>
      <c r="D125" s="143">
        <f>ICMS!P21</f>
        <v>127964.72</v>
      </c>
      <c r="E125" s="158">
        <v>868.69</v>
      </c>
      <c r="F125" s="143">
        <v>694.96</v>
      </c>
      <c r="G125" s="144">
        <f t="shared" si="7"/>
        <v>160824.58999999997</v>
      </c>
      <c r="H125" s="145">
        <f t="shared" si="8"/>
        <v>128659.68000000001</v>
      </c>
      <c r="I125" s="142">
        <f>IPI!C110</f>
        <v>0</v>
      </c>
      <c r="J125" s="142">
        <f>IPI!D110</f>
        <v>0</v>
      </c>
      <c r="K125" s="142">
        <f>IPVA!N21</f>
        <v>43121.47</v>
      </c>
      <c r="L125" s="143">
        <f>IPVA!P21</f>
        <v>34497.19</v>
      </c>
      <c r="M125" s="175">
        <f>CIDE!A116</f>
        <v>0</v>
      </c>
      <c r="N125" s="175">
        <f>CIDE!C116</f>
        <v>0</v>
      </c>
      <c r="O125" s="175">
        <f>CIDE!D116</f>
        <v>0</v>
      </c>
    </row>
    <row r="126" spans="1:15" ht="15" customHeight="1">
      <c r="A126" s="151" t="s">
        <v>139</v>
      </c>
      <c r="B126" s="146">
        <v>2.141</v>
      </c>
      <c r="C126" s="142">
        <f>ICMS!N22</f>
        <v>413106.86</v>
      </c>
      <c r="D126" s="143">
        <f>ICMS!P22</f>
        <v>330485.49</v>
      </c>
      <c r="E126" s="158">
        <v>1957.04</v>
      </c>
      <c r="F126" s="143">
        <v>1565.6399999999999</v>
      </c>
      <c r="G126" s="144">
        <f t="shared" si="7"/>
        <v>415063.89999999997</v>
      </c>
      <c r="H126" s="145">
        <f t="shared" si="8"/>
        <v>332051.13</v>
      </c>
      <c r="I126" s="142">
        <f>IPI!C111</f>
        <v>0</v>
      </c>
      <c r="J126" s="142">
        <f>IPI!D111</f>
        <v>0</v>
      </c>
      <c r="K126" s="142">
        <f>IPVA!N22</f>
        <v>98910.98000000001</v>
      </c>
      <c r="L126" s="143">
        <f>IPVA!P22</f>
        <v>79128.790000000008</v>
      </c>
      <c r="M126" s="175">
        <f>CIDE!A117</f>
        <v>0</v>
      </c>
      <c r="N126" s="175">
        <f>CIDE!C117</f>
        <v>0</v>
      </c>
      <c r="O126" s="175">
        <f>CIDE!D117</f>
        <v>0</v>
      </c>
    </row>
    <row r="127" spans="1:15" ht="15" customHeight="1">
      <c r="A127" s="151" t="s">
        <v>140</v>
      </c>
      <c r="B127" s="146">
        <v>0.76100000000000001</v>
      </c>
      <c r="C127" s="142">
        <f>ICMS!N23</f>
        <v>146835.27000000002</v>
      </c>
      <c r="D127" s="143">
        <f>ICMS!P23</f>
        <v>117468.22</v>
      </c>
      <c r="E127" s="158">
        <v>586.93000000000006</v>
      </c>
      <c r="F127" s="143">
        <v>469.55</v>
      </c>
      <c r="G127" s="144">
        <f t="shared" si="7"/>
        <v>147422.20000000001</v>
      </c>
      <c r="H127" s="145">
        <f t="shared" si="8"/>
        <v>117937.77</v>
      </c>
      <c r="I127" s="142">
        <f>IPI!C112</f>
        <v>0</v>
      </c>
      <c r="J127" s="142">
        <f>IPI!D112</f>
        <v>0</v>
      </c>
      <c r="K127" s="142">
        <f>IPVA!N23</f>
        <v>13047.869999999999</v>
      </c>
      <c r="L127" s="143">
        <f>IPVA!P23</f>
        <v>10438.299999999999</v>
      </c>
      <c r="M127" s="175">
        <f>CIDE!A118</f>
        <v>0</v>
      </c>
      <c r="N127" s="175">
        <f>CIDE!C118</f>
        <v>0</v>
      </c>
      <c r="O127" s="175">
        <f>CIDE!D118</f>
        <v>0</v>
      </c>
    </row>
    <row r="128" spans="1:15" ht="15" customHeight="1">
      <c r="A128" s="151" t="s">
        <v>141</v>
      </c>
      <c r="B128" s="146">
        <v>0.40500000000000003</v>
      </c>
      <c r="C128" s="142">
        <f>ICMS!N24</f>
        <v>78144.920000000013</v>
      </c>
      <c r="D128" s="143">
        <f>ICMS!P24</f>
        <v>62515.94</v>
      </c>
      <c r="E128" s="158">
        <v>427.59999999999997</v>
      </c>
      <c r="F128" s="143">
        <v>342.08</v>
      </c>
      <c r="G128" s="144">
        <f t="shared" si="7"/>
        <v>78572.520000000019</v>
      </c>
      <c r="H128" s="145">
        <f t="shared" si="8"/>
        <v>62858.020000000004</v>
      </c>
      <c r="I128" s="142">
        <f>IPI!C113</f>
        <v>0</v>
      </c>
      <c r="J128" s="142">
        <f>IPI!D113</f>
        <v>0</v>
      </c>
      <c r="K128" s="142">
        <f>IPVA!N24</f>
        <v>16366.59</v>
      </c>
      <c r="L128" s="143">
        <f>IPVA!P24</f>
        <v>13093.28</v>
      </c>
      <c r="M128" s="175">
        <f>CIDE!A119</f>
        <v>0</v>
      </c>
      <c r="N128" s="175">
        <f>CIDE!C119</f>
        <v>0</v>
      </c>
      <c r="O128" s="175">
        <f>CIDE!D119</f>
        <v>0</v>
      </c>
    </row>
    <row r="129" spans="1:15" ht="15" customHeight="1">
      <c r="A129" s="151" t="s">
        <v>142</v>
      </c>
      <c r="B129" s="146">
        <v>0.18</v>
      </c>
      <c r="C129" s="142">
        <f>ICMS!N25</f>
        <v>34731.08</v>
      </c>
      <c r="D129" s="143">
        <f>ICMS!P25</f>
        <v>27784.86</v>
      </c>
      <c r="E129" s="158">
        <v>167.44</v>
      </c>
      <c r="F129" s="143">
        <v>133.95000000000002</v>
      </c>
      <c r="G129" s="144">
        <f t="shared" si="7"/>
        <v>34898.520000000004</v>
      </c>
      <c r="H129" s="145">
        <f t="shared" si="8"/>
        <v>27918.81</v>
      </c>
      <c r="I129" s="142">
        <f>IPI!C114</f>
        <v>0</v>
      </c>
      <c r="J129" s="142">
        <f>IPI!D114</f>
        <v>0</v>
      </c>
      <c r="K129" s="142">
        <f>IPVA!N25</f>
        <v>1936.6399999999999</v>
      </c>
      <c r="L129" s="143">
        <f>IPVA!P25</f>
        <v>1549.32</v>
      </c>
      <c r="M129" s="175">
        <f>CIDE!A120</f>
        <v>0</v>
      </c>
      <c r="N129" s="175">
        <f>CIDE!C120</f>
        <v>0</v>
      </c>
      <c r="O129" s="175">
        <f>CIDE!D120</f>
        <v>0</v>
      </c>
    </row>
    <row r="130" spans="1:15" ht="15" customHeight="1">
      <c r="A130" s="151" t="s">
        <v>143</v>
      </c>
      <c r="B130" s="146">
        <v>1.2070000000000001</v>
      </c>
      <c r="C130" s="142">
        <f>ICMS!N26</f>
        <v>232891.17</v>
      </c>
      <c r="D130" s="143">
        <f>ICMS!P26</f>
        <v>186312.94</v>
      </c>
      <c r="E130" s="158">
        <v>1182.8699999999999</v>
      </c>
      <c r="F130" s="143">
        <v>946.29</v>
      </c>
      <c r="G130" s="144">
        <f t="shared" si="7"/>
        <v>234074.04</v>
      </c>
      <c r="H130" s="145">
        <f t="shared" si="8"/>
        <v>187259.23</v>
      </c>
      <c r="I130" s="142">
        <f>IPI!C115</f>
        <v>0</v>
      </c>
      <c r="J130" s="142">
        <f>IPI!D115</f>
        <v>0</v>
      </c>
      <c r="K130" s="142">
        <f>IPVA!N26</f>
        <v>36667.599999999999</v>
      </c>
      <c r="L130" s="143">
        <f>IPVA!P26</f>
        <v>29334.09</v>
      </c>
      <c r="M130" s="175">
        <f>CIDE!A121</f>
        <v>0</v>
      </c>
      <c r="N130" s="175">
        <f>CIDE!C121</f>
        <v>0</v>
      </c>
      <c r="O130" s="175">
        <f>CIDE!D121</f>
        <v>0</v>
      </c>
    </row>
    <row r="131" spans="1:15" ht="15" customHeight="1">
      <c r="A131" s="151" t="s">
        <v>144</v>
      </c>
      <c r="B131" s="146">
        <v>0.25800000000000001</v>
      </c>
      <c r="C131" s="142">
        <f>ICMS!N27</f>
        <v>49781.21</v>
      </c>
      <c r="D131" s="143">
        <f>ICMS!P27</f>
        <v>39824.97</v>
      </c>
      <c r="E131" s="158">
        <v>234.06000000000003</v>
      </c>
      <c r="F131" s="143">
        <v>187.24</v>
      </c>
      <c r="G131" s="144">
        <f t="shared" si="7"/>
        <v>50015.27</v>
      </c>
      <c r="H131" s="145">
        <f t="shared" si="8"/>
        <v>40012.21</v>
      </c>
      <c r="I131" s="142">
        <f>IPI!C116</f>
        <v>0</v>
      </c>
      <c r="J131" s="142">
        <f>IPI!D116</f>
        <v>0</v>
      </c>
      <c r="K131" s="142">
        <f>IPVA!N27</f>
        <v>9488.5299999999988</v>
      </c>
      <c r="L131" s="143">
        <f>IPVA!P27</f>
        <v>7590.83</v>
      </c>
      <c r="M131" s="175">
        <f>CIDE!A122</f>
        <v>0</v>
      </c>
      <c r="N131" s="175">
        <f>CIDE!C122</f>
        <v>0</v>
      </c>
      <c r="O131" s="175">
        <f>CIDE!D122</f>
        <v>0</v>
      </c>
    </row>
    <row r="132" spans="1:15" ht="15" customHeight="1">
      <c r="A132" s="151" t="s">
        <v>145</v>
      </c>
      <c r="B132" s="146">
        <v>0.7</v>
      </c>
      <c r="C132" s="142">
        <f>ICMS!N28</f>
        <v>135065.29999999999</v>
      </c>
      <c r="D132" s="143">
        <f>ICMS!P28</f>
        <v>108052.24</v>
      </c>
      <c r="E132" s="158">
        <v>629.24</v>
      </c>
      <c r="F132" s="143">
        <v>503.4</v>
      </c>
      <c r="G132" s="144">
        <f t="shared" si="7"/>
        <v>135694.53999999998</v>
      </c>
      <c r="H132" s="145">
        <f t="shared" si="8"/>
        <v>108555.64</v>
      </c>
      <c r="I132" s="142">
        <f>IPI!C117</f>
        <v>0</v>
      </c>
      <c r="J132" s="142">
        <f>IPI!D117</f>
        <v>0</v>
      </c>
      <c r="K132" s="142">
        <f>IPVA!N28</f>
        <v>3732.46</v>
      </c>
      <c r="L132" s="143">
        <f>IPVA!P28</f>
        <v>2985.98</v>
      </c>
      <c r="M132" s="175">
        <f>CIDE!A123</f>
        <v>0</v>
      </c>
      <c r="N132" s="175">
        <f>CIDE!C123</f>
        <v>0</v>
      </c>
      <c r="O132" s="175">
        <f>CIDE!D123</f>
        <v>0</v>
      </c>
    </row>
    <row r="133" spans="1:15" ht="15" customHeight="1">
      <c r="A133" s="151" t="s">
        <v>146</v>
      </c>
      <c r="B133" s="146">
        <v>0.26800000000000002</v>
      </c>
      <c r="C133" s="142">
        <f>ICMS!N29</f>
        <v>51710.71</v>
      </c>
      <c r="D133" s="143">
        <f>ICMS!P29</f>
        <v>41368.57</v>
      </c>
      <c r="E133" s="158">
        <v>281.76</v>
      </c>
      <c r="F133" s="143">
        <v>225.41</v>
      </c>
      <c r="G133" s="144">
        <f t="shared" si="7"/>
        <v>51992.47</v>
      </c>
      <c r="H133" s="145">
        <f t="shared" si="8"/>
        <v>41593.980000000003</v>
      </c>
      <c r="I133" s="142">
        <f>IPI!C118</f>
        <v>0</v>
      </c>
      <c r="J133" s="142">
        <f>IPI!D118</f>
        <v>0</v>
      </c>
      <c r="K133" s="142">
        <f>IPVA!N29</f>
        <v>9196.77</v>
      </c>
      <c r="L133" s="143">
        <f>IPVA!P29</f>
        <v>7357.42</v>
      </c>
      <c r="M133" s="175">
        <f>CIDE!A124</f>
        <v>0</v>
      </c>
      <c r="N133" s="175">
        <f>CIDE!C124</f>
        <v>0</v>
      </c>
      <c r="O133" s="175">
        <f>CIDE!D124</f>
        <v>0</v>
      </c>
    </row>
    <row r="134" spans="1:15" ht="15" customHeight="1">
      <c r="A134" s="151" t="s">
        <v>26</v>
      </c>
      <c r="B134" s="146">
        <v>0.48899999999999999</v>
      </c>
      <c r="C134" s="142">
        <f>ICMS!N30</f>
        <v>94352.75</v>
      </c>
      <c r="D134" s="143">
        <f>ICMS!P30</f>
        <v>75482.19</v>
      </c>
      <c r="E134" s="158">
        <v>387.09000000000003</v>
      </c>
      <c r="F134" s="143">
        <v>309.67999999999995</v>
      </c>
      <c r="G134" s="144">
        <f t="shared" si="7"/>
        <v>94739.839999999997</v>
      </c>
      <c r="H134" s="145">
        <f t="shared" si="8"/>
        <v>75791.87</v>
      </c>
      <c r="I134" s="142">
        <f>IPI!C119</f>
        <v>0</v>
      </c>
      <c r="J134" s="142">
        <f>IPI!D119</f>
        <v>0</v>
      </c>
      <c r="K134" s="142">
        <f>IPVA!N30</f>
        <v>11503.189999999999</v>
      </c>
      <c r="L134" s="143">
        <f>IPVA!P30</f>
        <v>9202.5600000000013</v>
      </c>
      <c r="M134" s="175">
        <f>CIDE!A125</f>
        <v>0</v>
      </c>
      <c r="N134" s="175">
        <f>CIDE!C125</f>
        <v>0</v>
      </c>
      <c r="O134" s="175">
        <f>CIDE!D125</f>
        <v>0</v>
      </c>
    </row>
    <row r="135" spans="1:15" ht="15" customHeight="1">
      <c r="A135" s="151" t="s">
        <v>147</v>
      </c>
      <c r="B135" s="146">
        <v>0.33700000000000002</v>
      </c>
      <c r="C135" s="142">
        <f>ICMS!N31</f>
        <v>65024.3</v>
      </c>
      <c r="D135" s="143">
        <f>ICMS!P31</f>
        <v>52019.44</v>
      </c>
      <c r="E135" s="158">
        <v>340.28000000000003</v>
      </c>
      <c r="F135" s="143">
        <v>272.21999999999997</v>
      </c>
      <c r="G135" s="144">
        <f t="shared" si="7"/>
        <v>65364.58</v>
      </c>
      <c r="H135" s="145">
        <f t="shared" si="8"/>
        <v>52291.66</v>
      </c>
      <c r="I135" s="142">
        <f>IPI!C120</f>
        <v>0</v>
      </c>
      <c r="J135" s="142">
        <f>IPI!D120</f>
        <v>0</v>
      </c>
      <c r="K135" s="142">
        <f>IPVA!N31</f>
        <v>21156.65</v>
      </c>
      <c r="L135" s="143">
        <f>IPVA!P31</f>
        <v>16925.330000000002</v>
      </c>
      <c r="M135" s="175">
        <f>CIDE!A126</f>
        <v>0</v>
      </c>
      <c r="N135" s="175">
        <f>CIDE!C126</f>
        <v>0</v>
      </c>
      <c r="O135" s="175">
        <f>CIDE!D126</f>
        <v>0</v>
      </c>
    </row>
    <row r="136" spans="1:15" ht="15" customHeight="1">
      <c r="A136" s="151" t="s">
        <v>148</v>
      </c>
      <c r="B136" s="146">
        <v>0.72499999999999998</v>
      </c>
      <c r="C136" s="142">
        <f>ICMS!N32</f>
        <v>139889.06</v>
      </c>
      <c r="D136" s="143">
        <f>ICMS!P32</f>
        <v>111911.25</v>
      </c>
      <c r="E136" s="158">
        <v>818.28</v>
      </c>
      <c r="F136" s="143">
        <v>654.62999999999988</v>
      </c>
      <c r="G136" s="144">
        <f t="shared" si="7"/>
        <v>140707.34</v>
      </c>
      <c r="H136" s="145">
        <f t="shared" si="8"/>
        <v>112565.88</v>
      </c>
      <c r="I136" s="142">
        <f>IPI!C121</f>
        <v>0</v>
      </c>
      <c r="J136" s="142">
        <f>IPI!D121</f>
        <v>0</v>
      </c>
      <c r="K136" s="142">
        <f>IPVA!N32</f>
        <v>215161.64</v>
      </c>
      <c r="L136" s="143">
        <f>IPVA!P32</f>
        <v>172129.32</v>
      </c>
      <c r="M136" s="175">
        <f>CIDE!A127</f>
        <v>0</v>
      </c>
      <c r="N136" s="175">
        <f>CIDE!C127</f>
        <v>0</v>
      </c>
      <c r="O136" s="175">
        <f>CIDE!D127</f>
        <v>0</v>
      </c>
    </row>
    <row r="137" spans="1:15" ht="15" customHeight="1">
      <c r="A137" s="151" t="s">
        <v>149</v>
      </c>
      <c r="B137" s="146">
        <v>0.33300000000000002</v>
      </c>
      <c r="C137" s="142">
        <f>ICMS!N33</f>
        <v>64252.5</v>
      </c>
      <c r="D137" s="143">
        <f>ICMS!P33</f>
        <v>51401.99</v>
      </c>
      <c r="E137" s="158">
        <v>315.97000000000003</v>
      </c>
      <c r="F137" s="143">
        <v>252.78</v>
      </c>
      <c r="G137" s="144">
        <f t="shared" si="7"/>
        <v>64568.47</v>
      </c>
      <c r="H137" s="145">
        <f t="shared" si="8"/>
        <v>51654.77</v>
      </c>
      <c r="I137" s="142">
        <f>IPI!C122</f>
        <v>0</v>
      </c>
      <c r="J137" s="142">
        <f>IPI!D122</f>
        <v>0</v>
      </c>
      <c r="K137" s="142">
        <f>IPVA!N33</f>
        <v>30149.829999999998</v>
      </c>
      <c r="L137" s="143">
        <f>IPVA!P33</f>
        <v>24119.87</v>
      </c>
      <c r="M137" s="175">
        <f>CIDE!A128</f>
        <v>0</v>
      </c>
      <c r="N137" s="175">
        <f>CIDE!C128</f>
        <v>0</v>
      </c>
      <c r="O137" s="175">
        <f>CIDE!D128</f>
        <v>0</v>
      </c>
    </row>
    <row r="138" spans="1:15" ht="15" customHeight="1">
      <c r="A138" s="151" t="s">
        <v>150</v>
      </c>
      <c r="B138" s="146">
        <v>0.22700000000000001</v>
      </c>
      <c r="C138" s="142">
        <f>ICMS!N34</f>
        <v>43799.74</v>
      </c>
      <c r="D138" s="143">
        <f>ICMS!P34</f>
        <v>35039.79</v>
      </c>
      <c r="E138" s="158">
        <v>240.35000000000002</v>
      </c>
      <c r="F138" s="143">
        <v>192.28000000000003</v>
      </c>
      <c r="G138" s="144">
        <f t="shared" si="7"/>
        <v>44040.09</v>
      </c>
      <c r="H138" s="145">
        <f t="shared" si="8"/>
        <v>35232.07</v>
      </c>
      <c r="I138" s="142">
        <f>IPI!C123</f>
        <v>0</v>
      </c>
      <c r="J138" s="142">
        <f>IPI!D123</f>
        <v>0</v>
      </c>
      <c r="K138" s="142">
        <f>IPVA!N34</f>
        <v>4436.6900000000005</v>
      </c>
      <c r="L138" s="143">
        <f>IPVA!P34</f>
        <v>3549.3599999999997</v>
      </c>
      <c r="M138" s="175">
        <f>CIDE!A129</f>
        <v>0</v>
      </c>
      <c r="N138" s="175">
        <f>CIDE!C129</f>
        <v>0</v>
      </c>
      <c r="O138" s="175">
        <f>CIDE!D129</f>
        <v>0</v>
      </c>
    </row>
    <row r="139" spans="1:15" ht="15" customHeight="1">
      <c r="A139" s="151" t="s">
        <v>151</v>
      </c>
      <c r="B139" s="146">
        <v>0.23400000000000001</v>
      </c>
      <c r="C139" s="142">
        <f>ICMS!N35</f>
        <v>45150.39</v>
      </c>
      <c r="D139" s="143">
        <f>ICMS!P35</f>
        <v>36120.32</v>
      </c>
      <c r="E139" s="158">
        <v>223.25</v>
      </c>
      <c r="F139" s="143">
        <v>178.60000000000002</v>
      </c>
      <c r="G139" s="144">
        <f t="shared" si="7"/>
        <v>45373.64</v>
      </c>
      <c r="H139" s="145">
        <f t="shared" si="8"/>
        <v>36298.92</v>
      </c>
      <c r="I139" s="142">
        <f>IPI!C124</f>
        <v>0</v>
      </c>
      <c r="J139" s="142">
        <f>IPI!D124</f>
        <v>0</v>
      </c>
      <c r="K139" s="142">
        <f>IPVA!N35</f>
        <v>2934.28</v>
      </c>
      <c r="L139" s="143">
        <f>IPVA!P35</f>
        <v>2347.4299999999998</v>
      </c>
      <c r="M139" s="175">
        <f>CIDE!A130</f>
        <v>0</v>
      </c>
      <c r="N139" s="175">
        <f>CIDE!C130</f>
        <v>0</v>
      </c>
      <c r="O139" s="175">
        <f>CIDE!D130</f>
        <v>0</v>
      </c>
    </row>
    <row r="140" spans="1:15" ht="15" customHeight="1">
      <c r="A140" s="151" t="s">
        <v>152</v>
      </c>
      <c r="B140" s="146">
        <v>0.28699999999999998</v>
      </c>
      <c r="C140" s="142">
        <f>ICMS!N36</f>
        <v>55376.770000000004</v>
      </c>
      <c r="D140" s="143">
        <f>ICMS!P36</f>
        <v>44301.420000000006</v>
      </c>
      <c r="E140" s="158">
        <v>309.66999999999996</v>
      </c>
      <c r="F140" s="143">
        <v>247.73</v>
      </c>
      <c r="G140" s="144">
        <f t="shared" si="7"/>
        <v>55686.44</v>
      </c>
      <c r="H140" s="145">
        <f t="shared" si="8"/>
        <v>44549.150000000009</v>
      </c>
      <c r="I140" s="142">
        <f>IPI!C125</f>
        <v>0</v>
      </c>
      <c r="J140" s="142">
        <f>IPI!D125</f>
        <v>0</v>
      </c>
      <c r="K140" s="142">
        <f>IPVA!N36</f>
        <v>8216.619999999999</v>
      </c>
      <c r="L140" s="143">
        <f>IPVA!P36</f>
        <v>6573.3</v>
      </c>
      <c r="M140" s="175">
        <f>CIDE!A131</f>
        <v>0</v>
      </c>
      <c r="N140" s="175">
        <f>CIDE!C131</f>
        <v>0</v>
      </c>
      <c r="O140" s="175">
        <f>CIDE!D131</f>
        <v>0</v>
      </c>
    </row>
    <row r="141" spans="1:15" ht="15" customHeight="1">
      <c r="A141" s="151" t="s">
        <v>153</v>
      </c>
      <c r="B141" s="146">
        <v>0.28799999999999998</v>
      </c>
      <c r="C141" s="142">
        <f>ICMS!N37</f>
        <v>55569.710000000006</v>
      </c>
      <c r="D141" s="143">
        <f>ICMS!P37</f>
        <v>44455.78</v>
      </c>
      <c r="E141" s="158">
        <v>277.26</v>
      </c>
      <c r="F141" s="143">
        <v>221.81</v>
      </c>
      <c r="G141" s="144">
        <f t="shared" si="7"/>
        <v>55846.970000000008</v>
      </c>
      <c r="H141" s="145">
        <f t="shared" si="8"/>
        <v>44677.59</v>
      </c>
      <c r="I141" s="142">
        <f>IPI!C126</f>
        <v>0</v>
      </c>
      <c r="J141" s="142">
        <f>IPI!D126</f>
        <v>0</v>
      </c>
      <c r="K141" s="142">
        <f>IPVA!N37</f>
        <v>8391.84</v>
      </c>
      <c r="L141" s="143">
        <f>IPVA!P37</f>
        <v>6713.48</v>
      </c>
      <c r="M141" s="175">
        <f>CIDE!A132</f>
        <v>0</v>
      </c>
      <c r="N141" s="175">
        <f>CIDE!C132</f>
        <v>0</v>
      </c>
      <c r="O141" s="175">
        <f>CIDE!D132</f>
        <v>0</v>
      </c>
    </row>
    <row r="142" spans="1:15" ht="15" customHeight="1">
      <c r="A142" s="151" t="s">
        <v>154</v>
      </c>
      <c r="B142" s="146">
        <v>0.33800000000000002</v>
      </c>
      <c r="C142" s="142">
        <f>ICMS!N38</f>
        <v>65217.24</v>
      </c>
      <c r="D142" s="143">
        <f>ICMS!P38</f>
        <v>52173.8</v>
      </c>
      <c r="E142" s="158">
        <v>319.58000000000004</v>
      </c>
      <c r="F142" s="143">
        <v>255.66</v>
      </c>
      <c r="G142" s="144">
        <f t="shared" si="7"/>
        <v>65536.819999999992</v>
      </c>
      <c r="H142" s="145">
        <f t="shared" si="8"/>
        <v>52429.460000000006</v>
      </c>
      <c r="I142" s="142">
        <f>IPI!C127</f>
        <v>0</v>
      </c>
      <c r="J142" s="142">
        <f>IPI!D127</f>
        <v>0</v>
      </c>
      <c r="K142" s="142">
        <f>IPVA!N38</f>
        <v>5714.45</v>
      </c>
      <c r="L142" s="143">
        <f>IPVA!P38</f>
        <v>4571.57</v>
      </c>
      <c r="M142" s="175">
        <f>CIDE!A133</f>
        <v>0</v>
      </c>
      <c r="N142" s="175">
        <f>CIDE!C133</f>
        <v>0</v>
      </c>
      <c r="O142" s="175">
        <f>CIDE!D133</f>
        <v>0</v>
      </c>
    </row>
    <row r="143" spans="1:15" ht="15" customHeight="1">
      <c r="A143" s="151" t="s">
        <v>155</v>
      </c>
      <c r="B143" s="146">
        <v>3.8050000000000002</v>
      </c>
      <c r="C143" s="142">
        <f>ICMS!N39</f>
        <v>734176.36</v>
      </c>
      <c r="D143" s="143">
        <f>ICMS!P39</f>
        <v>587341.09000000008</v>
      </c>
      <c r="E143" s="158">
        <v>2036.2600000000002</v>
      </c>
      <c r="F143" s="143">
        <v>1629.01</v>
      </c>
      <c r="G143" s="144">
        <f t="shared" si="7"/>
        <v>736212.62</v>
      </c>
      <c r="H143" s="145">
        <f t="shared" si="8"/>
        <v>588970.10000000009</v>
      </c>
      <c r="I143" s="142">
        <f>IPI!C128</f>
        <v>0</v>
      </c>
      <c r="J143" s="142">
        <f>IPI!D128</f>
        <v>0</v>
      </c>
      <c r="K143" s="142">
        <f>IPVA!N39</f>
        <v>24176.93</v>
      </c>
      <c r="L143" s="143">
        <f>IPVA!P39</f>
        <v>19341.55</v>
      </c>
      <c r="M143" s="175">
        <f>CIDE!A134</f>
        <v>0</v>
      </c>
      <c r="N143" s="175">
        <f>CIDE!C134</f>
        <v>0</v>
      </c>
      <c r="O143" s="175">
        <f>CIDE!D134</f>
        <v>0</v>
      </c>
    </row>
    <row r="144" spans="1:15" ht="15" customHeight="1">
      <c r="A144" s="151" t="s">
        <v>156</v>
      </c>
      <c r="B144" s="146">
        <v>0.35299999999999998</v>
      </c>
      <c r="C144" s="142">
        <f>ICMS!N40</f>
        <v>68111.5</v>
      </c>
      <c r="D144" s="143">
        <f>ICMS!P40</f>
        <v>54489.2</v>
      </c>
      <c r="E144" s="158">
        <v>311.47000000000003</v>
      </c>
      <c r="F144" s="143">
        <v>249.18</v>
      </c>
      <c r="G144" s="144">
        <f t="shared" si="7"/>
        <v>68422.97</v>
      </c>
      <c r="H144" s="145">
        <f t="shared" si="8"/>
        <v>54738.38</v>
      </c>
      <c r="I144" s="142">
        <f>IPI!C129</f>
        <v>0</v>
      </c>
      <c r="J144" s="142">
        <f>IPI!D129</f>
        <v>0</v>
      </c>
      <c r="K144" s="142">
        <f>IPVA!N40</f>
        <v>5787.4800000000005</v>
      </c>
      <c r="L144" s="143">
        <f>IPVA!P40</f>
        <v>4629.99</v>
      </c>
      <c r="M144" s="175">
        <f>CIDE!A135</f>
        <v>0</v>
      </c>
      <c r="N144" s="175">
        <f>CIDE!C135</f>
        <v>0</v>
      </c>
      <c r="O144" s="175">
        <f>CIDE!D135</f>
        <v>0</v>
      </c>
    </row>
    <row r="145" spans="1:15" ht="15" customHeight="1">
      <c r="A145" s="151" t="s">
        <v>157</v>
      </c>
      <c r="B145" s="146">
        <v>0.46899999999999997</v>
      </c>
      <c r="C145" s="142">
        <f>ICMS!N41</f>
        <v>90493.75</v>
      </c>
      <c r="D145" s="143">
        <f>ICMS!P41</f>
        <v>72395</v>
      </c>
      <c r="E145" s="158">
        <v>394.28000000000003</v>
      </c>
      <c r="F145" s="143">
        <v>315.41999999999996</v>
      </c>
      <c r="G145" s="144">
        <f t="shared" si="7"/>
        <v>90888.03</v>
      </c>
      <c r="H145" s="145">
        <f t="shared" si="8"/>
        <v>72710.42</v>
      </c>
      <c r="I145" s="142">
        <f>IPI!C130</f>
        <v>0</v>
      </c>
      <c r="J145" s="142">
        <f>IPI!D130</f>
        <v>0</v>
      </c>
      <c r="K145" s="142">
        <f>IPVA!N41</f>
        <v>15663.89</v>
      </c>
      <c r="L145" s="143">
        <f>IPVA!P41</f>
        <v>12531.119999999999</v>
      </c>
      <c r="M145" s="175">
        <f>CIDE!A136</f>
        <v>0</v>
      </c>
      <c r="N145" s="175">
        <f>CIDE!C136</f>
        <v>0</v>
      </c>
      <c r="O145" s="175">
        <f>CIDE!D136</f>
        <v>0</v>
      </c>
    </row>
    <row r="146" spans="1:15" ht="15" customHeight="1">
      <c r="A146" s="151" t="s">
        <v>35</v>
      </c>
      <c r="B146" s="146">
        <v>1.0740000000000001</v>
      </c>
      <c r="C146" s="142">
        <f>ICMS!N42</f>
        <v>207228.75</v>
      </c>
      <c r="D146" s="143">
        <f>ICMS!P42</f>
        <v>165783</v>
      </c>
      <c r="E146" s="158">
        <v>720.16</v>
      </c>
      <c r="F146" s="143">
        <v>576.13</v>
      </c>
      <c r="G146" s="144">
        <f t="shared" si="7"/>
        <v>207948.91</v>
      </c>
      <c r="H146" s="145">
        <f t="shared" si="8"/>
        <v>166359.13</v>
      </c>
      <c r="I146" s="142">
        <f>IPI!C131</f>
        <v>0</v>
      </c>
      <c r="J146" s="142">
        <f>IPI!D131</f>
        <v>0</v>
      </c>
      <c r="K146" s="142">
        <f>IPVA!N42</f>
        <v>30174.86</v>
      </c>
      <c r="L146" s="143">
        <f>IPVA!P42</f>
        <v>24139.89</v>
      </c>
      <c r="M146" s="175">
        <f>CIDE!A137</f>
        <v>0</v>
      </c>
      <c r="N146" s="175">
        <f>CIDE!C137</f>
        <v>0</v>
      </c>
      <c r="O146" s="175">
        <f>CIDE!D137</f>
        <v>0</v>
      </c>
    </row>
    <row r="147" spans="1:15" ht="15" customHeight="1">
      <c r="A147" s="151" t="s">
        <v>158</v>
      </c>
      <c r="B147" s="146">
        <v>0.20100000000000001</v>
      </c>
      <c r="C147" s="142">
        <f>ICMS!N43</f>
        <v>38783.040000000001</v>
      </c>
      <c r="D147" s="143">
        <f>ICMS!P43</f>
        <v>31026.44</v>
      </c>
      <c r="E147" s="158">
        <v>190.84</v>
      </c>
      <c r="F147" s="143">
        <v>152.66999999999999</v>
      </c>
      <c r="G147" s="144">
        <f t="shared" si="7"/>
        <v>38973.879999999997</v>
      </c>
      <c r="H147" s="145">
        <f t="shared" si="8"/>
        <v>31179.109999999997</v>
      </c>
      <c r="I147" s="142">
        <f>IPI!C132</f>
        <v>0</v>
      </c>
      <c r="J147" s="142">
        <f>IPI!D132</f>
        <v>0</v>
      </c>
      <c r="K147" s="142">
        <f>IPVA!N43</f>
        <v>5986.55</v>
      </c>
      <c r="L147" s="143">
        <f>IPVA!P43</f>
        <v>4789.25</v>
      </c>
      <c r="M147" s="175">
        <f>CIDE!A138</f>
        <v>0</v>
      </c>
      <c r="N147" s="175">
        <f>CIDE!C138</f>
        <v>0</v>
      </c>
      <c r="O147" s="175">
        <f>CIDE!D138</f>
        <v>0</v>
      </c>
    </row>
    <row r="148" spans="1:15" ht="15" customHeight="1">
      <c r="A148" s="151" t="s">
        <v>159</v>
      </c>
      <c r="B148" s="146">
        <v>0.38300000000000001</v>
      </c>
      <c r="C148" s="142">
        <f>ICMS!N44</f>
        <v>73900.010000000009</v>
      </c>
      <c r="D148" s="143">
        <f>ICMS!P44</f>
        <v>59120</v>
      </c>
      <c r="E148" s="158">
        <v>347.49</v>
      </c>
      <c r="F148" s="143">
        <v>277.98999999999995</v>
      </c>
      <c r="G148" s="144">
        <f t="shared" si="7"/>
        <v>74247.500000000015</v>
      </c>
      <c r="H148" s="145">
        <f t="shared" si="8"/>
        <v>59397.99</v>
      </c>
      <c r="I148" s="142">
        <f>IPI!C133</f>
        <v>0</v>
      </c>
      <c r="J148" s="142">
        <f>IPI!D133</f>
        <v>0</v>
      </c>
      <c r="K148" s="142">
        <f>IPVA!N44</f>
        <v>22585.27</v>
      </c>
      <c r="L148" s="143">
        <f>IPVA!P44</f>
        <v>18068.23</v>
      </c>
      <c r="M148" s="175">
        <f>CIDE!A139</f>
        <v>0</v>
      </c>
      <c r="N148" s="175">
        <f>CIDE!C139</f>
        <v>0</v>
      </c>
      <c r="O148" s="175">
        <f>CIDE!D139</f>
        <v>0</v>
      </c>
    </row>
    <row r="149" spans="1:15" ht="15" customHeight="1">
      <c r="A149" s="151" t="s">
        <v>160</v>
      </c>
      <c r="B149" s="146">
        <v>0.377</v>
      </c>
      <c r="C149" s="142">
        <f>ICMS!N45</f>
        <v>72742.31</v>
      </c>
      <c r="D149" s="143">
        <f>ICMS!P45</f>
        <v>58193.840000000004</v>
      </c>
      <c r="E149" s="158">
        <v>334.87</v>
      </c>
      <c r="F149" s="143">
        <v>267.89</v>
      </c>
      <c r="G149" s="144">
        <f t="shared" si="7"/>
        <v>73077.179999999993</v>
      </c>
      <c r="H149" s="145">
        <f t="shared" si="8"/>
        <v>58461.73</v>
      </c>
      <c r="I149" s="142">
        <f>IPI!C134</f>
        <v>0</v>
      </c>
      <c r="J149" s="142">
        <f>IPI!D134</f>
        <v>0</v>
      </c>
      <c r="K149" s="142">
        <f>IPVA!N45</f>
        <v>14806.829999999998</v>
      </c>
      <c r="L149" s="143">
        <f>IPVA!P45</f>
        <v>11845.470000000001</v>
      </c>
      <c r="M149" s="175">
        <f>CIDE!A140</f>
        <v>0</v>
      </c>
      <c r="N149" s="175">
        <f>CIDE!C140</f>
        <v>0</v>
      </c>
      <c r="O149" s="175">
        <f>CIDE!D140</f>
        <v>0</v>
      </c>
    </row>
    <row r="150" spans="1:15" ht="15" customHeight="1">
      <c r="A150" s="151" t="s">
        <v>161</v>
      </c>
      <c r="B150" s="146">
        <v>4.6500000000000004</v>
      </c>
      <c r="C150" s="142">
        <f>ICMS!N46</f>
        <v>897219.4800000001</v>
      </c>
      <c r="D150" s="143">
        <f>ICMS!P46</f>
        <v>717775.58000000007</v>
      </c>
      <c r="E150" s="158">
        <v>4861.0899999999992</v>
      </c>
      <c r="F150" s="143">
        <v>3888.88</v>
      </c>
      <c r="G150" s="144">
        <f t="shared" si="7"/>
        <v>902080.57000000007</v>
      </c>
      <c r="H150" s="145">
        <f t="shared" si="8"/>
        <v>721664.46000000008</v>
      </c>
      <c r="I150" s="142">
        <f>IPI!C135</f>
        <v>0</v>
      </c>
      <c r="J150" s="142">
        <f>IPI!D135</f>
        <v>0</v>
      </c>
      <c r="K150" s="142">
        <f>IPVA!N46</f>
        <v>157928.31</v>
      </c>
      <c r="L150" s="143">
        <f>IPVA!P46</f>
        <v>126342.65</v>
      </c>
      <c r="M150" s="175">
        <f>CIDE!A141</f>
        <v>0</v>
      </c>
      <c r="N150" s="175">
        <f>CIDE!C141</f>
        <v>0</v>
      </c>
      <c r="O150" s="175">
        <f>CIDE!D141</f>
        <v>0</v>
      </c>
    </row>
    <row r="151" spans="1:15" ht="15" customHeight="1">
      <c r="A151" s="151" t="s">
        <v>162</v>
      </c>
      <c r="B151" s="146">
        <v>0.25</v>
      </c>
      <c r="C151" s="142">
        <f>ICMS!N47</f>
        <v>48237.599999999999</v>
      </c>
      <c r="D151" s="143">
        <f>ICMS!P47</f>
        <v>38590.080000000002</v>
      </c>
      <c r="E151" s="158">
        <v>194.44</v>
      </c>
      <c r="F151" s="143">
        <v>155.55000000000001</v>
      </c>
      <c r="G151" s="144">
        <f t="shared" si="7"/>
        <v>48432.04</v>
      </c>
      <c r="H151" s="145">
        <f t="shared" si="8"/>
        <v>38745.630000000005</v>
      </c>
      <c r="I151" s="142">
        <f>IPI!C136</f>
        <v>0</v>
      </c>
      <c r="J151" s="142">
        <f>IPI!D136</f>
        <v>0</v>
      </c>
      <c r="K151" s="142">
        <f>IPVA!N47</f>
        <v>6868.26</v>
      </c>
      <c r="L151" s="143">
        <f>IPVA!P47</f>
        <v>5494.6100000000006</v>
      </c>
      <c r="M151" s="175">
        <f>CIDE!A142</f>
        <v>0</v>
      </c>
      <c r="N151" s="175">
        <f>CIDE!C142</f>
        <v>0</v>
      </c>
      <c r="O151" s="175">
        <f>CIDE!D142</f>
        <v>0</v>
      </c>
    </row>
    <row r="152" spans="1:15" ht="15" customHeight="1">
      <c r="A152" s="151" t="s">
        <v>163</v>
      </c>
      <c r="B152" s="146">
        <v>0.61599999999999999</v>
      </c>
      <c r="C152" s="142">
        <f>ICMS!N48</f>
        <v>118857.46</v>
      </c>
      <c r="D152" s="143">
        <f>ICMS!P48</f>
        <v>95085.97</v>
      </c>
      <c r="E152" s="158">
        <v>548.23000000000013</v>
      </c>
      <c r="F152" s="143">
        <v>438.58</v>
      </c>
      <c r="G152" s="144">
        <f t="shared" si="7"/>
        <v>119405.69</v>
      </c>
      <c r="H152" s="145">
        <f t="shared" si="8"/>
        <v>95524.55</v>
      </c>
      <c r="I152" s="142">
        <f>IPI!C137</f>
        <v>0</v>
      </c>
      <c r="J152" s="142">
        <f>IPI!D137</f>
        <v>0</v>
      </c>
      <c r="K152" s="142">
        <f>IPVA!N48</f>
        <v>27233.11</v>
      </c>
      <c r="L152" s="143">
        <f>IPVA!P48</f>
        <v>21786.5</v>
      </c>
      <c r="M152" s="175">
        <f>CIDE!A143</f>
        <v>0</v>
      </c>
      <c r="N152" s="175">
        <f>CIDE!C143</f>
        <v>0</v>
      </c>
      <c r="O152" s="175">
        <f>CIDE!D143</f>
        <v>0</v>
      </c>
    </row>
    <row r="153" spans="1:15" ht="15" customHeight="1">
      <c r="A153" s="151" t="s">
        <v>164</v>
      </c>
      <c r="B153" s="146">
        <v>0.56699999999999995</v>
      </c>
      <c r="C153" s="142">
        <f>ICMS!N49</f>
        <v>109402.89000000001</v>
      </c>
      <c r="D153" s="143">
        <f>ICMS!P49</f>
        <v>87522.31</v>
      </c>
      <c r="E153" s="158">
        <v>580.62999999999988</v>
      </c>
      <c r="F153" s="143">
        <v>464.51</v>
      </c>
      <c r="G153" s="144">
        <f t="shared" si="7"/>
        <v>109983.52000000002</v>
      </c>
      <c r="H153" s="145">
        <f t="shared" si="8"/>
        <v>87986.819999999992</v>
      </c>
      <c r="I153" s="142">
        <f>IPI!C138</f>
        <v>0</v>
      </c>
      <c r="J153" s="142">
        <f>IPI!D138</f>
        <v>0</v>
      </c>
      <c r="K153" s="142">
        <f>IPVA!N49</f>
        <v>13691.94</v>
      </c>
      <c r="L153" s="143">
        <f>IPVA!P49</f>
        <v>10953.56</v>
      </c>
      <c r="M153" s="175">
        <f>CIDE!A144</f>
        <v>0</v>
      </c>
      <c r="N153" s="175">
        <f>CIDE!C144</f>
        <v>0</v>
      </c>
      <c r="O153" s="175">
        <f>CIDE!D144</f>
        <v>0</v>
      </c>
    </row>
    <row r="154" spans="1:15" ht="15" customHeight="1">
      <c r="A154" s="151" t="s">
        <v>165</v>
      </c>
      <c r="B154" s="146">
        <v>0.46</v>
      </c>
      <c r="C154" s="142">
        <f>ICMS!N50</f>
        <v>88757.189999999988</v>
      </c>
      <c r="D154" s="143">
        <f>ICMS!P50</f>
        <v>71005.760000000009</v>
      </c>
      <c r="E154" s="158">
        <v>406.9</v>
      </c>
      <c r="F154" s="143">
        <v>325.52</v>
      </c>
      <c r="G154" s="144">
        <f t="shared" si="7"/>
        <v>89164.089999999982</v>
      </c>
      <c r="H154" s="145">
        <f t="shared" si="8"/>
        <v>71331.280000000013</v>
      </c>
      <c r="I154" s="142">
        <f>IPI!C139</f>
        <v>0</v>
      </c>
      <c r="J154" s="142">
        <f>IPI!D139</f>
        <v>0</v>
      </c>
      <c r="K154" s="142">
        <f>IPVA!N50</f>
        <v>21961.78</v>
      </c>
      <c r="L154" s="143">
        <f>IPVA!P50</f>
        <v>17569.43</v>
      </c>
      <c r="M154" s="175">
        <f>CIDE!A145</f>
        <v>0</v>
      </c>
      <c r="N154" s="175">
        <f>CIDE!C145</f>
        <v>0</v>
      </c>
      <c r="O154" s="175">
        <f>CIDE!D145</f>
        <v>0</v>
      </c>
    </row>
    <row r="155" spans="1:15" ht="15" customHeight="1">
      <c r="A155" s="151" t="s">
        <v>166</v>
      </c>
      <c r="B155" s="146">
        <v>0.47499999999999998</v>
      </c>
      <c r="C155" s="142">
        <f>ICMS!N51</f>
        <v>91651.449999999983</v>
      </c>
      <c r="D155" s="143">
        <f>ICMS!P51</f>
        <v>73321.16</v>
      </c>
      <c r="E155" s="158">
        <v>462.7</v>
      </c>
      <c r="F155" s="143">
        <v>370.15999999999997</v>
      </c>
      <c r="G155" s="144">
        <f t="shared" si="7"/>
        <v>92114.14999999998</v>
      </c>
      <c r="H155" s="145">
        <f t="shared" si="8"/>
        <v>73691.320000000007</v>
      </c>
      <c r="I155" s="142">
        <f>IPI!C140</f>
        <v>0</v>
      </c>
      <c r="J155" s="142">
        <f>IPI!D140</f>
        <v>0</v>
      </c>
      <c r="K155" s="142">
        <f>IPVA!N51</f>
        <v>11052.85</v>
      </c>
      <c r="L155" s="143">
        <f>IPVA!P51</f>
        <v>8842.2900000000009</v>
      </c>
      <c r="M155" s="175">
        <f>CIDE!A146</f>
        <v>0</v>
      </c>
      <c r="N155" s="175">
        <f>CIDE!C146</f>
        <v>0</v>
      </c>
      <c r="O155" s="175">
        <f>CIDE!D146</f>
        <v>0</v>
      </c>
    </row>
    <row r="156" spans="1:15" ht="15" customHeight="1">
      <c r="A156" s="151" t="s">
        <v>167</v>
      </c>
      <c r="B156" s="146">
        <v>0.52800000000000002</v>
      </c>
      <c r="C156" s="142">
        <f>ICMS!N52</f>
        <v>101877.82</v>
      </c>
      <c r="D156" s="143">
        <f>ICMS!P52</f>
        <v>81502.260000000009</v>
      </c>
      <c r="E156" s="158">
        <v>482.51</v>
      </c>
      <c r="F156" s="143">
        <v>386.01</v>
      </c>
      <c r="G156" s="144">
        <f t="shared" si="7"/>
        <v>102360.33</v>
      </c>
      <c r="H156" s="145">
        <f t="shared" si="8"/>
        <v>81888.27</v>
      </c>
      <c r="I156" s="142">
        <f>IPI!C141</f>
        <v>0</v>
      </c>
      <c r="J156" s="142">
        <f>IPI!D141</f>
        <v>0</v>
      </c>
      <c r="K156" s="142">
        <f>IPVA!N52</f>
        <v>10387.470000000001</v>
      </c>
      <c r="L156" s="143">
        <f>IPVA!P52</f>
        <v>8309.98</v>
      </c>
      <c r="M156" s="175">
        <f>CIDE!A147</f>
        <v>0</v>
      </c>
      <c r="N156" s="175">
        <f>CIDE!C147</f>
        <v>0</v>
      </c>
      <c r="O156" s="175">
        <f>CIDE!D147</f>
        <v>0</v>
      </c>
    </row>
    <row r="157" spans="1:15" ht="15" customHeight="1">
      <c r="A157" s="151" t="s">
        <v>168</v>
      </c>
      <c r="B157" s="146">
        <v>0.29299999999999998</v>
      </c>
      <c r="C157" s="142">
        <f>ICMS!N53</f>
        <v>56534.47</v>
      </c>
      <c r="D157" s="143">
        <f>ICMS!P53</f>
        <v>45227.58</v>
      </c>
      <c r="E157" s="158">
        <v>250.25</v>
      </c>
      <c r="F157" s="143">
        <v>200.19</v>
      </c>
      <c r="G157" s="144">
        <f t="shared" si="7"/>
        <v>56784.72</v>
      </c>
      <c r="H157" s="145">
        <f t="shared" si="8"/>
        <v>45427.770000000004</v>
      </c>
      <c r="I157" s="142">
        <f>IPI!C142</f>
        <v>0</v>
      </c>
      <c r="J157" s="142">
        <f>IPI!D142</f>
        <v>0</v>
      </c>
      <c r="K157" s="142">
        <f>IPVA!N53</f>
        <v>5377.0599999999995</v>
      </c>
      <c r="L157" s="143">
        <f>IPVA!P53</f>
        <v>4301.6499999999996</v>
      </c>
      <c r="M157" s="175">
        <f>CIDE!A148</f>
        <v>0</v>
      </c>
      <c r="N157" s="175">
        <f>CIDE!C148</f>
        <v>0</v>
      </c>
      <c r="O157" s="175">
        <f>CIDE!D148</f>
        <v>0</v>
      </c>
    </row>
    <row r="158" spans="1:15" ht="15" customHeight="1">
      <c r="A158" s="151" t="s">
        <v>169</v>
      </c>
      <c r="B158" s="146">
        <v>0.51800000000000002</v>
      </c>
      <c r="C158" s="142">
        <f>ICMS!N54</f>
        <v>99948.319999999978</v>
      </c>
      <c r="D158" s="143">
        <f>ICMS!P54</f>
        <v>79958.66</v>
      </c>
      <c r="E158" s="158">
        <v>495.10999999999996</v>
      </c>
      <c r="F158" s="143">
        <v>396.09</v>
      </c>
      <c r="G158" s="144">
        <f t="shared" si="7"/>
        <v>100443.42999999998</v>
      </c>
      <c r="H158" s="145">
        <f t="shared" si="8"/>
        <v>80354.75</v>
      </c>
      <c r="I158" s="142">
        <f>IPI!C143</f>
        <v>0</v>
      </c>
      <c r="J158" s="142">
        <f>IPI!D143</f>
        <v>0</v>
      </c>
      <c r="K158" s="142">
        <f>IPVA!N54</f>
        <v>10201.689999999999</v>
      </c>
      <c r="L158" s="143">
        <f>IPVA!P54</f>
        <v>8161.36</v>
      </c>
      <c r="M158" s="175">
        <f>CIDE!A149</f>
        <v>0</v>
      </c>
      <c r="N158" s="175">
        <f>CIDE!C149</f>
        <v>0</v>
      </c>
      <c r="O158" s="175">
        <f>CIDE!D149</f>
        <v>0</v>
      </c>
    </row>
    <row r="159" spans="1:15" ht="15" customHeight="1">
      <c r="A159" s="151" t="s">
        <v>170</v>
      </c>
      <c r="B159" s="146">
        <v>0.26700000000000002</v>
      </c>
      <c r="C159" s="142">
        <f>ICMS!N55</f>
        <v>51517.759999999995</v>
      </c>
      <c r="D159" s="143">
        <f>ICMS!P55</f>
        <v>41214.210000000006</v>
      </c>
      <c r="E159" s="158">
        <v>266.45999999999998</v>
      </c>
      <c r="F159" s="143">
        <v>213.17</v>
      </c>
      <c r="G159" s="144">
        <f t="shared" si="7"/>
        <v>51784.219999999994</v>
      </c>
      <c r="H159" s="145">
        <f t="shared" si="8"/>
        <v>41427.380000000005</v>
      </c>
      <c r="I159" s="142">
        <f>IPI!C144</f>
        <v>0</v>
      </c>
      <c r="J159" s="142">
        <f>IPI!D144</f>
        <v>0</v>
      </c>
      <c r="K159" s="142">
        <f>IPVA!N55</f>
        <v>3596.6099999999997</v>
      </c>
      <c r="L159" s="143">
        <f>IPVA!P55</f>
        <v>2877.3</v>
      </c>
      <c r="M159" s="175">
        <f>CIDE!A150</f>
        <v>0</v>
      </c>
      <c r="N159" s="175">
        <f>CIDE!C150</f>
        <v>0</v>
      </c>
      <c r="O159" s="175">
        <f>CIDE!D150</f>
        <v>0</v>
      </c>
    </row>
    <row r="160" spans="1:15" ht="15" customHeight="1">
      <c r="A160" s="151" t="s">
        <v>171</v>
      </c>
      <c r="B160" s="146">
        <v>1.3089999999999999</v>
      </c>
      <c r="C160" s="142">
        <f>ICMS!N56</f>
        <v>252572.1</v>
      </c>
      <c r="D160" s="143">
        <f>ICMS!P56</f>
        <v>202057.68</v>
      </c>
      <c r="E160" s="158">
        <v>1141.46</v>
      </c>
      <c r="F160" s="143">
        <v>913.17</v>
      </c>
      <c r="G160" s="144">
        <f t="shared" si="7"/>
        <v>253713.56</v>
      </c>
      <c r="H160" s="145">
        <f t="shared" si="8"/>
        <v>202970.85</v>
      </c>
      <c r="I160" s="142">
        <f>IPI!C145</f>
        <v>0</v>
      </c>
      <c r="J160" s="142">
        <f>IPI!D145</f>
        <v>0</v>
      </c>
      <c r="K160" s="142">
        <f>IPVA!N56</f>
        <v>34945.879999999997</v>
      </c>
      <c r="L160" s="143">
        <f>IPVA!P56</f>
        <v>27956.71</v>
      </c>
      <c r="M160" s="175">
        <f>CIDE!A151</f>
        <v>0</v>
      </c>
      <c r="N160" s="175">
        <f>CIDE!C151</f>
        <v>0</v>
      </c>
      <c r="O160" s="175">
        <f>CIDE!D151</f>
        <v>0</v>
      </c>
    </row>
    <row r="161" spans="1:15" ht="15" customHeight="1">
      <c r="A161" s="151" t="s">
        <v>172</v>
      </c>
      <c r="B161" s="146">
        <v>0.45400000000000001</v>
      </c>
      <c r="C161" s="142">
        <f>ICMS!N57</f>
        <v>87599.49</v>
      </c>
      <c r="D161" s="143">
        <f>ICMS!P57</f>
        <v>70079.59</v>
      </c>
      <c r="E161" s="158">
        <v>424.00000000000006</v>
      </c>
      <c r="F161" s="143">
        <v>339.20000000000005</v>
      </c>
      <c r="G161" s="144">
        <f t="shared" si="7"/>
        <v>88023.49</v>
      </c>
      <c r="H161" s="145">
        <f t="shared" si="8"/>
        <v>70418.789999999994</v>
      </c>
      <c r="I161" s="142">
        <f>IPI!C146</f>
        <v>0</v>
      </c>
      <c r="J161" s="142">
        <f>IPI!D146</f>
        <v>0</v>
      </c>
      <c r="K161" s="142">
        <f>IPVA!N57</f>
        <v>12312.49</v>
      </c>
      <c r="L161" s="143">
        <f>IPVA!P57</f>
        <v>9850</v>
      </c>
      <c r="M161" s="175">
        <f>CIDE!A152</f>
        <v>0</v>
      </c>
      <c r="N161" s="175">
        <f>CIDE!C152</f>
        <v>0</v>
      </c>
      <c r="O161" s="175">
        <f>CIDE!D152</f>
        <v>0</v>
      </c>
    </row>
    <row r="162" spans="1:15" ht="15" customHeight="1">
      <c r="A162" s="151" t="s">
        <v>173</v>
      </c>
      <c r="B162" s="146">
        <v>0.316</v>
      </c>
      <c r="C162" s="142">
        <f>ICMS!N58</f>
        <v>60972.34</v>
      </c>
      <c r="D162" s="143">
        <f>ICMS!P58</f>
        <v>48777.87</v>
      </c>
      <c r="E162" s="158">
        <v>281.76</v>
      </c>
      <c r="F162" s="143">
        <v>225.41</v>
      </c>
      <c r="G162" s="144">
        <f t="shared" si="7"/>
        <v>61254.1</v>
      </c>
      <c r="H162" s="145">
        <f t="shared" si="8"/>
        <v>49003.280000000006</v>
      </c>
      <c r="I162" s="142">
        <f>IPI!C147</f>
        <v>0</v>
      </c>
      <c r="J162" s="142">
        <f>IPI!D147</f>
        <v>0</v>
      </c>
      <c r="K162" s="142">
        <f>IPVA!N58</f>
        <v>10744.14</v>
      </c>
      <c r="L162" s="143">
        <f>IPVA!P58</f>
        <v>8595.32</v>
      </c>
      <c r="M162" s="175">
        <f>CIDE!A153</f>
        <v>0</v>
      </c>
      <c r="N162" s="175">
        <f>CIDE!C153</f>
        <v>0</v>
      </c>
      <c r="O162" s="175">
        <f>CIDE!D153</f>
        <v>0</v>
      </c>
    </row>
    <row r="163" spans="1:15" ht="15" customHeight="1">
      <c r="A163" s="151" t="s">
        <v>174</v>
      </c>
      <c r="B163" s="146">
        <v>0.76200000000000001</v>
      </c>
      <c r="C163" s="142">
        <f>ICMS!N59</f>
        <v>147028.23000000001</v>
      </c>
      <c r="D163" s="143">
        <f>ICMS!P59</f>
        <v>117622.57999999999</v>
      </c>
      <c r="E163" s="158">
        <v>653.54999999999995</v>
      </c>
      <c r="F163" s="143">
        <v>522.83999999999992</v>
      </c>
      <c r="G163" s="144">
        <f t="shared" si="7"/>
        <v>147681.78</v>
      </c>
      <c r="H163" s="145">
        <f t="shared" si="8"/>
        <v>118145.41999999998</v>
      </c>
      <c r="I163" s="142">
        <f>IPI!C148</f>
        <v>0</v>
      </c>
      <c r="J163" s="142">
        <f>IPI!D148</f>
        <v>0</v>
      </c>
      <c r="K163" s="142">
        <f>IPVA!N59</f>
        <v>14068.16</v>
      </c>
      <c r="L163" s="143">
        <f>IPVA!P59</f>
        <v>11254.54</v>
      </c>
      <c r="M163" s="175">
        <f>CIDE!A154</f>
        <v>0</v>
      </c>
      <c r="N163" s="175">
        <f>CIDE!C154</f>
        <v>0</v>
      </c>
      <c r="O163" s="175">
        <f>CIDE!D154</f>
        <v>0</v>
      </c>
    </row>
    <row r="164" spans="1:15" ht="15" customHeight="1">
      <c r="A164" s="151" t="s">
        <v>175</v>
      </c>
      <c r="B164" s="146">
        <v>0.26</v>
      </c>
      <c r="C164" s="142">
        <f>ICMS!N60</f>
        <v>50167.11</v>
      </c>
      <c r="D164" s="143">
        <f>ICMS!P60</f>
        <v>40133.69</v>
      </c>
      <c r="E164" s="158">
        <v>131.42999999999998</v>
      </c>
      <c r="F164" s="143">
        <v>105.14</v>
      </c>
      <c r="G164" s="144">
        <f t="shared" si="7"/>
        <v>50298.54</v>
      </c>
      <c r="H164" s="145">
        <f t="shared" si="8"/>
        <v>40238.83</v>
      </c>
      <c r="I164" s="142">
        <f>IPI!C149</f>
        <v>0</v>
      </c>
      <c r="J164" s="142">
        <f>IPI!D149</f>
        <v>0</v>
      </c>
      <c r="K164" s="142">
        <f>IPVA!N60</f>
        <v>44416.11</v>
      </c>
      <c r="L164" s="143">
        <f>IPVA!P60</f>
        <v>35532.9</v>
      </c>
      <c r="M164" s="175">
        <f>CIDE!A155</f>
        <v>0</v>
      </c>
      <c r="N164" s="175">
        <f>CIDE!C155</f>
        <v>0</v>
      </c>
      <c r="O164" s="175">
        <f>CIDE!D155</f>
        <v>0</v>
      </c>
    </row>
    <row r="165" spans="1:15" ht="15" customHeight="1">
      <c r="A165" s="151" t="s">
        <v>176</v>
      </c>
      <c r="B165" s="146">
        <v>0.214</v>
      </c>
      <c r="C165" s="142">
        <f>ICMS!N61</f>
        <v>41291.380000000005</v>
      </c>
      <c r="D165" s="143">
        <f>ICMS!P61</f>
        <v>33033.1</v>
      </c>
      <c r="E165" s="158">
        <v>198.94000000000003</v>
      </c>
      <c r="F165" s="143">
        <v>159.15</v>
      </c>
      <c r="G165" s="144">
        <f t="shared" si="7"/>
        <v>41490.320000000007</v>
      </c>
      <c r="H165" s="145">
        <f t="shared" si="8"/>
        <v>33192.25</v>
      </c>
      <c r="I165" s="142">
        <f>IPI!C150</f>
        <v>0</v>
      </c>
      <c r="J165" s="142">
        <f>IPI!D150</f>
        <v>0</v>
      </c>
      <c r="K165" s="142">
        <f>IPVA!N61</f>
        <v>1080.27</v>
      </c>
      <c r="L165" s="143">
        <f>IPVA!P61</f>
        <v>864.23</v>
      </c>
      <c r="M165" s="175">
        <f>CIDE!A156</f>
        <v>0</v>
      </c>
      <c r="N165" s="175">
        <f>CIDE!C156</f>
        <v>0</v>
      </c>
      <c r="O165" s="175">
        <f>CIDE!D156</f>
        <v>0</v>
      </c>
    </row>
    <row r="166" spans="1:15" ht="15" customHeight="1">
      <c r="A166" s="151" t="s">
        <v>177</v>
      </c>
      <c r="B166" s="146">
        <v>0.39100000000000001</v>
      </c>
      <c r="C166" s="142">
        <f>ICMS!N62</f>
        <v>75443.61</v>
      </c>
      <c r="D166" s="143">
        <f>ICMS!P62</f>
        <v>60354.899999999994</v>
      </c>
      <c r="E166" s="158">
        <v>304.26</v>
      </c>
      <c r="F166" s="143">
        <v>243.40999999999997</v>
      </c>
      <c r="G166" s="144">
        <f t="shared" si="7"/>
        <v>75747.87</v>
      </c>
      <c r="H166" s="145">
        <f t="shared" si="8"/>
        <v>60598.31</v>
      </c>
      <c r="I166" s="142">
        <f>IPI!C151</f>
        <v>0</v>
      </c>
      <c r="J166" s="142">
        <f>IPI!D151</f>
        <v>0</v>
      </c>
      <c r="K166" s="142">
        <f>IPVA!N62</f>
        <v>18144.03</v>
      </c>
      <c r="L166" s="143">
        <f>IPVA!P62</f>
        <v>14515.23</v>
      </c>
      <c r="M166" s="175">
        <f>CIDE!A157</f>
        <v>0</v>
      </c>
      <c r="N166" s="175">
        <f>CIDE!C157</f>
        <v>0</v>
      </c>
      <c r="O166" s="175">
        <f>CIDE!D157</f>
        <v>0</v>
      </c>
    </row>
    <row r="167" spans="1:15" ht="15" customHeight="1">
      <c r="A167" s="151" t="s">
        <v>178</v>
      </c>
      <c r="B167" s="146">
        <v>0.90300000000000002</v>
      </c>
      <c r="C167" s="142">
        <f>ICMS!N63</f>
        <v>174234.23</v>
      </c>
      <c r="D167" s="143">
        <f>ICMS!P63</f>
        <v>139387.38</v>
      </c>
      <c r="E167" s="158">
        <v>717.45</v>
      </c>
      <c r="F167" s="143">
        <v>573.95000000000005</v>
      </c>
      <c r="G167" s="144">
        <f t="shared" si="7"/>
        <v>174951.68000000002</v>
      </c>
      <c r="H167" s="145">
        <f t="shared" si="8"/>
        <v>139961.33000000002</v>
      </c>
      <c r="I167" s="142">
        <f>IPI!C152</f>
        <v>0</v>
      </c>
      <c r="J167" s="142">
        <f>IPI!D152</f>
        <v>0</v>
      </c>
      <c r="K167" s="142">
        <f>IPVA!N63</f>
        <v>21935.65</v>
      </c>
      <c r="L167" s="143">
        <f>IPVA!P63</f>
        <v>17548.52</v>
      </c>
      <c r="M167" s="175">
        <f>CIDE!A158</f>
        <v>0</v>
      </c>
      <c r="N167" s="175">
        <f>CIDE!C158</f>
        <v>0</v>
      </c>
      <c r="O167" s="175">
        <f>CIDE!D158</f>
        <v>0</v>
      </c>
    </row>
    <row r="168" spans="1:15" ht="15" customHeight="1">
      <c r="A168" s="151" t="s">
        <v>179</v>
      </c>
      <c r="B168" s="146">
        <v>0.25900000000000001</v>
      </c>
      <c r="C168" s="142">
        <f>ICMS!N64</f>
        <v>49974.159999999996</v>
      </c>
      <c r="D168" s="143">
        <f>ICMS!P64</f>
        <v>39979.33</v>
      </c>
      <c r="E168" s="158">
        <v>247.54999999999998</v>
      </c>
      <c r="F168" s="143">
        <v>198.04999999999998</v>
      </c>
      <c r="G168" s="144">
        <f t="shared" si="7"/>
        <v>50221.71</v>
      </c>
      <c r="H168" s="145">
        <f t="shared" si="8"/>
        <v>40177.380000000005</v>
      </c>
      <c r="I168" s="142">
        <f>IPI!C153</f>
        <v>0</v>
      </c>
      <c r="J168" s="142">
        <f>IPI!D153</f>
        <v>0</v>
      </c>
      <c r="K168" s="142">
        <f>IPVA!N64</f>
        <v>8473.52</v>
      </c>
      <c r="L168" s="143">
        <f>IPVA!P64</f>
        <v>6778.82</v>
      </c>
      <c r="M168" s="175">
        <f>CIDE!A159</f>
        <v>0</v>
      </c>
      <c r="N168" s="175">
        <f>CIDE!C159</f>
        <v>0</v>
      </c>
      <c r="O168" s="175">
        <f>CIDE!D159</f>
        <v>0</v>
      </c>
    </row>
    <row r="169" spans="1:15" ht="15" customHeight="1">
      <c r="A169" s="151" t="s">
        <v>180</v>
      </c>
      <c r="B169" s="146">
        <v>0.52500000000000002</v>
      </c>
      <c r="C169" s="142">
        <f>ICMS!N65</f>
        <v>101298.98</v>
      </c>
      <c r="D169" s="143">
        <f>ICMS!P65</f>
        <v>81039.179999999993</v>
      </c>
      <c r="E169" s="158">
        <v>484.30999999999995</v>
      </c>
      <c r="F169" s="143">
        <v>387.45</v>
      </c>
      <c r="G169" s="144">
        <f t="shared" si="7"/>
        <v>101783.29</v>
      </c>
      <c r="H169" s="145">
        <f t="shared" si="8"/>
        <v>81426.62999999999</v>
      </c>
      <c r="I169" s="142">
        <f>IPI!C154</f>
        <v>0</v>
      </c>
      <c r="J169" s="142">
        <f>IPI!D154</f>
        <v>0</v>
      </c>
      <c r="K169" s="142">
        <f>IPVA!N65</f>
        <v>10228.83</v>
      </c>
      <c r="L169" s="143">
        <f>IPVA!P65</f>
        <v>8183.08</v>
      </c>
      <c r="M169" s="175">
        <f>CIDE!A160</f>
        <v>0</v>
      </c>
      <c r="N169" s="175">
        <f>CIDE!C160</f>
        <v>0</v>
      </c>
      <c r="O169" s="175">
        <f>CIDE!D160</f>
        <v>0</v>
      </c>
    </row>
    <row r="170" spans="1:15" ht="15" customHeight="1">
      <c r="A170" s="151" t="s">
        <v>181</v>
      </c>
      <c r="B170" s="146">
        <v>2.34</v>
      </c>
      <c r="C170" s="142">
        <f>ICMS!N66</f>
        <v>451504</v>
      </c>
      <c r="D170" s="143">
        <f>ICMS!P66</f>
        <v>361203.20000000001</v>
      </c>
      <c r="E170" s="158">
        <v>1904.82</v>
      </c>
      <c r="F170" s="143">
        <v>1523.86</v>
      </c>
      <c r="G170" s="144">
        <f t="shared" si="7"/>
        <v>453408.82</v>
      </c>
      <c r="H170" s="145">
        <f t="shared" si="8"/>
        <v>362727.06</v>
      </c>
      <c r="I170" s="142">
        <f>IPI!C155</f>
        <v>0</v>
      </c>
      <c r="J170" s="142">
        <f>IPI!D155</f>
        <v>0</v>
      </c>
      <c r="K170" s="142">
        <f>IPVA!N66</f>
        <v>90045.010000000009</v>
      </c>
      <c r="L170" s="143">
        <f>IPVA!P66</f>
        <v>72036.01999999999</v>
      </c>
      <c r="M170" s="175">
        <f>CIDE!A161</f>
        <v>0</v>
      </c>
      <c r="N170" s="175">
        <f>CIDE!C161</f>
        <v>0</v>
      </c>
      <c r="O170" s="175">
        <f>CIDE!D161</f>
        <v>0</v>
      </c>
    </row>
    <row r="171" spans="1:15" ht="15" customHeight="1">
      <c r="A171" s="151" t="s">
        <v>182</v>
      </c>
      <c r="B171" s="146">
        <v>0.629</v>
      </c>
      <c r="C171" s="142">
        <f>ICMS!N67</f>
        <v>121365.81999999999</v>
      </c>
      <c r="D171" s="143">
        <f>ICMS!P67</f>
        <v>97092.659999999989</v>
      </c>
      <c r="E171" s="158">
        <v>619.33999999999992</v>
      </c>
      <c r="F171" s="143">
        <v>495.46999999999997</v>
      </c>
      <c r="G171" s="144">
        <f t="shared" si="7"/>
        <v>121985.15999999999</v>
      </c>
      <c r="H171" s="145">
        <f t="shared" si="8"/>
        <v>97588.12999999999</v>
      </c>
      <c r="I171" s="142">
        <f>IPI!C156</f>
        <v>0</v>
      </c>
      <c r="J171" s="142">
        <f>IPI!D156</f>
        <v>0</v>
      </c>
      <c r="K171" s="142">
        <f>IPVA!N67</f>
        <v>18027.099999999999</v>
      </c>
      <c r="L171" s="143">
        <f>IPVA!P67</f>
        <v>14421.689999999999</v>
      </c>
      <c r="M171" s="175">
        <f>CIDE!A162</f>
        <v>0</v>
      </c>
      <c r="N171" s="175">
        <f>CIDE!C162</f>
        <v>0</v>
      </c>
      <c r="O171" s="175">
        <f>CIDE!D162</f>
        <v>0</v>
      </c>
    </row>
    <row r="172" spans="1:15" ht="15" customHeight="1">
      <c r="A172" s="151" t="s">
        <v>183</v>
      </c>
      <c r="B172" s="146">
        <v>0.40400000000000003</v>
      </c>
      <c r="C172" s="142">
        <f>ICMS!N68</f>
        <v>77951.969999999987</v>
      </c>
      <c r="D172" s="143">
        <f>ICMS!P68</f>
        <v>62361.579999999994</v>
      </c>
      <c r="E172" s="158">
        <v>381.69</v>
      </c>
      <c r="F172" s="143">
        <v>305.34999999999997</v>
      </c>
      <c r="G172" s="144">
        <f t="shared" ref="G172:G186" si="9">C172+E172</f>
        <v>78333.659999999989</v>
      </c>
      <c r="H172" s="145">
        <f t="shared" ref="H172:H186" si="10">D172+F172</f>
        <v>62666.929999999993</v>
      </c>
      <c r="I172" s="142">
        <f>IPI!C157</f>
        <v>0</v>
      </c>
      <c r="J172" s="142">
        <f>IPI!D157</f>
        <v>0</v>
      </c>
      <c r="K172" s="142">
        <f>IPVA!N68</f>
        <v>9812.2099999999991</v>
      </c>
      <c r="L172" s="143">
        <f>IPVA!P68</f>
        <v>7849.7800000000007</v>
      </c>
      <c r="M172" s="175">
        <f>CIDE!A163</f>
        <v>0</v>
      </c>
      <c r="N172" s="175">
        <f>CIDE!C163</f>
        <v>0</v>
      </c>
      <c r="O172" s="175">
        <f>CIDE!D163</f>
        <v>0</v>
      </c>
    </row>
    <row r="173" spans="1:15" ht="15" customHeight="1">
      <c r="A173" s="151" t="s">
        <v>184</v>
      </c>
      <c r="B173" s="146">
        <v>0.80200000000000005</v>
      </c>
      <c r="C173" s="142">
        <f>ICMS!N69</f>
        <v>154746.23999999999</v>
      </c>
      <c r="D173" s="143">
        <f>ICMS!P69</f>
        <v>123796.99</v>
      </c>
      <c r="E173" s="158">
        <v>733.66000000000008</v>
      </c>
      <c r="F173" s="143">
        <v>586.93000000000006</v>
      </c>
      <c r="G173" s="144">
        <f t="shared" si="9"/>
        <v>155479.9</v>
      </c>
      <c r="H173" s="145">
        <f t="shared" si="10"/>
        <v>124383.92</v>
      </c>
      <c r="I173" s="142">
        <f>IPI!C158</f>
        <v>0</v>
      </c>
      <c r="J173" s="142">
        <f>IPI!D158</f>
        <v>0</v>
      </c>
      <c r="K173" s="142">
        <f>IPVA!N69</f>
        <v>28693.739999999998</v>
      </c>
      <c r="L173" s="143">
        <f>IPVA!P69</f>
        <v>22955</v>
      </c>
      <c r="M173" s="175">
        <f>CIDE!A164</f>
        <v>0</v>
      </c>
      <c r="N173" s="175">
        <f>CIDE!C164</f>
        <v>0</v>
      </c>
      <c r="O173" s="175">
        <f>CIDE!D164</f>
        <v>0</v>
      </c>
    </row>
    <row r="174" spans="1:15" ht="15" customHeight="1">
      <c r="A174" s="151" t="s">
        <v>185</v>
      </c>
      <c r="B174" s="146">
        <v>0.23400000000000001</v>
      </c>
      <c r="C174" s="142">
        <f>ICMS!N70</f>
        <v>45150.39</v>
      </c>
      <c r="D174" s="143">
        <f>ICMS!P70</f>
        <v>36120.32</v>
      </c>
      <c r="E174" s="158">
        <v>207.04999999999998</v>
      </c>
      <c r="F174" s="143">
        <v>165.64</v>
      </c>
      <c r="G174" s="144">
        <f t="shared" si="9"/>
        <v>45357.440000000002</v>
      </c>
      <c r="H174" s="145">
        <f t="shared" si="10"/>
        <v>36285.96</v>
      </c>
      <c r="I174" s="142">
        <f>IPI!C159</f>
        <v>0</v>
      </c>
      <c r="J174" s="142">
        <f>IPI!D159</f>
        <v>0</v>
      </c>
      <c r="K174" s="142">
        <f>IPVA!N70</f>
        <v>11676.779999999999</v>
      </c>
      <c r="L174" s="143">
        <f>IPVA!P70</f>
        <v>9341.43</v>
      </c>
      <c r="M174" s="175">
        <f>CIDE!A165</f>
        <v>0</v>
      </c>
      <c r="N174" s="175">
        <f>CIDE!C165</f>
        <v>0</v>
      </c>
      <c r="O174" s="175">
        <f>CIDE!D165</f>
        <v>0</v>
      </c>
    </row>
    <row r="175" spans="1:15" ht="15" customHeight="1">
      <c r="A175" s="151" t="s">
        <v>186</v>
      </c>
      <c r="B175" s="146">
        <v>1.952</v>
      </c>
      <c r="C175" s="142">
        <f>ICMS!N71</f>
        <v>376639.23</v>
      </c>
      <c r="D175" s="143">
        <f>ICMS!P71</f>
        <v>301311.39</v>
      </c>
      <c r="E175" s="158">
        <v>1695.9800000000002</v>
      </c>
      <c r="F175" s="143">
        <v>1356.7800000000002</v>
      </c>
      <c r="G175" s="144">
        <f t="shared" si="9"/>
        <v>378335.20999999996</v>
      </c>
      <c r="H175" s="145">
        <f t="shared" si="10"/>
        <v>302668.17000000004</v>
      </c>
      <c r="I175" s="142">
        <f>IPI!C160</f>
        <v>0</v>
      </c>
      <c r="J175" s="142">
        <f>IPI!D160</f>
        <v>0</v>
      </c>
      <c r="K175" s="142">
        <f>IPVA!N71</f>
        <v>82241.06</v>
      </c>
      <c r="L175" s="143">
        <f>IPVA!P71</f>
        <v>65792.86</v>
      </c>
      <c r="M175" s="175">
        <f>CIDE!A166</f>
        <v>0</v>
      </c>
      <c r="N175" s="175">
        <f>CIDE!C166</f>
        <v>0</v>
      </c>
      <c r="O175" s="175">
        <f>CIDE!D166</f>
        <v>0</v>
      </c>
    </row>
    <row r="176" spans="1:15" ht="15" customHeight="1">
      <c r="A176" s="151" t="s">
        <v>187</v>
      </c>
      <c r="B176" s="146">
        <v>0.29699999999999999</v>
      </c>
      <c r="C176" s="142">
        <f>ICMS!N72</f>
        <v>57306.27</v>
      </c>
      <c r="D176" s="143">
        <f>ICMS!P72</f>
        <v>45845.01</v>
      </c>
      <c r="E176" s="158">
        <v>293.47000000000003</v>
      </c>
      <c r="F176" s="143">
        <v>234.77</v>
      </c>
      <c r="G176" s="144">
        <f t="shared" si="9"/>
        <v>57599.74</v>
      </c>
      <c r="H176" s="145">
        <f t="shared" si="10"/>
        <v>46079.78</v>
      </c>
      <c r="I176" s="142">
        <f>IPI!C161</f>
        <v>0</v>
      </c>
      <c r="J176" s="142">
        <f>IPI!D161</f>
        <v>0</v>
      </c>
      <c r="K176" s="142">
        <f>IPVA!N72</f>
        <v>11949.619999999999</v>
      </c>
      <c r="L176" s="143">
        <f>IPVA!P72</f>
        <v>9559.7000000000007</v>
      </c>
      <c r="M176" s="175">
        <f>CIDE!A167</f>
        <v>0</v>
      </c>
      <c r="N176" s="175">
        <f>CIDE!C167</f>
        <v>0</v>
      </c>
      <c r="O176" s="175">
        <f>CIDE!D167</f>
        <v>0</v>
      </c>
    </row>
    <row r="177" spans="1:18" ht="15" customHeight="1">
      <c r="A177" s="151" t="s">
        <v>188</v>
      </c>
      <c r="B177" s="146">
        <v>14.689</v>
      </c>
      <c r="C177" s="142">
        <f>ICMS!N73</f>
        <v>2834248.79</v>
      </c>
      <c r="D177" s="143">
        <f>ICMS!P73</f>
        <v>2267399.04</v>
      </c>
      <c r="E177" s="158">
        <v>12761.25</v>
      </c>
      <c r="F177" s="143">
        <v>10209</v>
      </c>
      <c r="G177" s="144">
        <f t="shared" si="9"/>
        <v>2847010.04</v>
      </c>
      <c r="H177" s="145">
        <f t="shared" si="10"/>
        <v>2277608.04</v>
      </c>
      <c r="I177" s="142">
        <f>IPI!C162</f>
        <v>0</v>
      </c>
      <c r="J177" s="142">
        <f>IPI!D162</f>
        <v>0</v>
      </c>
      <c r="K177" s="142">
        <f>IPVA!N73</f>
        <v>359923.61</v>
      </c>
      <c r="L177" s="143">
        <f>IPVA!P73</f>
        <v>287938.90000000002</v>
      </c>
      <c r="M177" s="175">
        <f>CIDE!A168</f>
        <v>0</v>
      </c>
      <c r="N177" s="175">
        <f>CIDE!C168</f>
        <v>0</v>
      </c>
      <c r="O177" s="175">
        <f>CIDE!D168</f>
        <v>0</v>
      </c>
    </row>
    <row r="178" spans="1:18" ht="15" customHeight="1">
      <c r="A178" s="151" t="s">
        <v>189</v>
      </c>
      <c r="B178" s="146">
        <v>0.72799999999999998</v>
      </c>
      <c r="C178" s="142">
        <f>ICMS!N74</f>
        <v>140467.91</v>
      </c>
      <c r="D178" s="143">
        <f>ICMS!P74</f>
        <v>112374.32</v>
      </c>
      <c r="E178" s="158">
        <v>649.93999999999994</v>
      </c>
      <c r="F178" s="143">
        <v>519.95000000000005</v>
      </c>
      <c r="G178" s="144">
        <f t="shared" si="9"/>
        <v>141117.85</v>
      </c>
      <c r="H178" s="145">
        <f t="shared" si="10"/>
        <v>112894.27</v>
      </c>
      <c r="I178" s="142">
        <f>IPI!C163</f>
        <v>0</v>
      </c>
      <c r="J178" s="142">
        <f>IPI!D163</f>
        <v>0</v>
      </c>
      <c r="K178" s="142">
        <f>IPVA!N74</f>
        <v>26910.379999999997</v>
      </c>
      <c r="L178" s="143">
        <f>IPVA!P74</f>
        <v>21528.31</v>
      </c>
      <c r="M178" s="175">
        <f>CIDE!A169</f>
        <v>0</v>
      </c>
      <c r="N178" s="175">
        <f>CIDE!C169</f>
        <v>0</v>
      </c>
      <c r="O178" s="175">
        <f>CIDE!D169</f>
        <v>0</v>
      </c>
    </row>
    <row r="179" spans="1:18" ht="15" customHeight="1">
      <c r="A179" s="151" t="s">
        <v>190</v>
      </c>
      <c r="B179" s="146">
        <v>0.48599999999999999</v>
      </c>
      <c r="C179" s="142">
        <f>ICMS!N75</f>
        <v>93773.91</v>
      </c>
      <c r="D179" s="143">
        <f>ICMS!P75</f>
        <v>75019.12</v>
      </c>
      <c r="E179" s="158">
        <v>448.29999999999995</v>
      </c>
      <c r="F179" s="143">
        <v>358.63</v>
      </c>
      <c r="G179" s="144">
        <f t="shared" si="9"/>
        <v>94222.21</v>
      </c>
      <c r="H179" s="145">
        <f t="shared" si="10"/>
        <v>75377.75</v>
      </c>
      <c r="I179" s="142">
        <f>IPI!C164</f>
        <v>0</v>
      </c>
      <c r="J179" s="142">
        <f>IPI!D164</f>
        <v>0</v>
      </c>
      <c r="K179" s="142">
        <f>IPVA!N75</f>
        <v>12332.95</v>
      </c>
      <c r="L179" s="143">
        <f>IPVA!P75</f>
        <v>9866.369999999999</v>
      </c>
      <c r="M179" s="175">
        <f>CIDE!A170</f>
        <v>0</v>
      </c>
      <c r="N179" s="175">
        <f>CIDE!C170</f>
        <v>0</v>
      </c>
      <c r="O179" s="175">
        <f>CIDE!D170</f>
        <v>0</v>
      </c>
    </row>
    <row r="180" spans="1:18" ht="15" customHeight="1">
      <c r="A180" s="151" t="s">
        <v>191</v>
      </c>
      <c r="B180" s="146">
        <v>0.61899999999999999</v>
      </c>
      <c r="C180" s="142">
        <f>ICMS!N76</f>
        <v>119436.31</v>
      </c>
      <c r="D180" s="143">
        <f>ICMS!P76</f>
        <v>95549.049999999988</v>
      </c>
      <c r="E180" s="158">
        <v>682.36</v>
      </c>
      <c r="F180" s="143">
        <v>545.8900000000001</v>
      </c>
      <c r="G180" s="144">
        <f t="shared" si="9"/>
        <v>120118.67</v>
      </c>
      <c r="H180" s="145">
        <f t="shared" si="10"/>
        <v>96094.939999999988</v>
      </c>
      <c r="I180" s="142">
        <f>IPI!C165</f>
        <v>0</v>
      </c>
      <c r="J180" s="142">
        <f>IPI!D165</f>
        <v>0</v>
      </c>
      <c r="K180" s="142">
        <f>IPVA!N76</f>
        <v>33313.61</v>
      </c>
      <c r="L180" s="143">
        <f>IPVA!P76</f>
        <v>26650.9</v>
      </c>
      <c r="M180" s="175">
        <f>CIDE!A171</f>
        <v>0</v>
      </c>
      <c r="N180" s="175">
        <f>CIDE!C171</f>
        <v>0</v>
      </c>
      <c r="O180" s="175">
        <f>CIDE!D171</f>
        <v>0</v>
      </c>
    </row>
    <row r="181" spans="1:18" ht="15" customHeight="1">
      <c r="A181" s="151" t="s">
        <v>192</v>
      </c>
      <c r="B181" s="146">
        <v>2.823</v>
      </c>
      <c r="C181" s="142">
        <f>ICMS!N77</f>
        <v>544699.05000000005</v>
      </c>
      <c r="D181" s="143">
        <f>ICMS!P77</f>
        <v>435759.24</v>
      </c>
      <c r="E181" s="158">
        <v>2694.3</v>
      </c>
      <c r="F181" s="143">
        <v>2155.44</v>
      </c>
      <c r="G181" s="144">
        <f t="shared" si="9"/>
        <v>547393.35000000009</v>
      </c>
      <c r="H181" s="145">
        <f t="shared" si="10"/>
        <v>437914.68</v>
      </c>
      <c r="I181" s="142">
        <f>IPI!C166</f>
        <v>0</v>
      </c>
      <c r="J181" s="142">
        <f>IPI!D166</f>
        <v>0</v>
      </c>
      <c r="K181" s="142">
        <f>IPVA!N77</f>
        <v>69389.649999999994</v>
      </c>
      <c r="L181" s="143">
        <f>IPVA!P77</f>
        <v>55511.729999999996</v>
      </c>
      <c r="M181" s="175">
        <f>CIDE!A172</f>
        <v>0</v>
      </c>
      <c r="N181" s="175">
        <f>CIDE!C172</f>
        <v>0</v>
      </c>
      <c r="O181" s="175">
        <f>CIDE!D172</f>
        <v>0</v>
      </c>
    </row>
    <row r="182" spans="1:18" ht="15" customHeight="1">
      <c r="A182" s="151" t="s">
        <v>193</v>
      </c>
      <c r="B182" s="146">
        <v>0.313</v>
      </c>
      <c r="C182" s="142">
        <f>ICMS!N78</f>
        <v>60393.479999999996</v>
      </c>
      <c r="D182" s="143">
        <f>ICMS!P78</f>
        <v>48314.79</v>
      </c>
      <c r="E182" s="158">
        <v>295.26</v>
      </c>
      <c r="F182" s="143">
        <v>236.20000000000002</v>
      </c>
      <c r="G182" s="144">
        <f t="shared" si="9"/>
        <v>60688.74</v>
      </c>
      <c r="H182" s="145">
        <f t="shared" si="10"/>
        <v>48550.99</v>
      </c>
      <c r="I182" s="142">
        <f>IPI!C167</f>
        <v>0</v>
      </c>
      <c r="J182" s="142">
        <f>IPI!D167</f>
        <v>0</v>
      </c>
      <c r="K182" s="142">
        <f>IPVA!N78</f>
        <v>3470.94</v>
      </c>
      <c r="L182" s="143">
        <f>IPVA!P78</f>
        <v>2776.7599999999998</v>
      </c>
      <c r="M182" s="175">
        <f>CIDE!A173</f>
        <v>0</v>
      </c>
      <c r="N182" s="175">
        <f>CIDE!C173</f>
        <v>0</v>
      </c>
      <c r="O182" s="175">
        <f>CIDE!D173</f>
        <v>0</v>
      </c>
    </row>
    <row r="183" spans="1:18" ht="15" customHeight="1">
      <c r="A183" s="151" t="s">
        <v>194</v>
      </c>
      <c r="B183" s="146">
        <v>0.64300000000000002</v>
      </c>
      <c r="C183" s="142">
        <f>ICMS!N79</f>
        <v>124067.12</v>
      </c>
      <c r="D183" s="143">
        <f>ICMS!P79</f>
        <v>99253.69</v>
      </c>
      <c r="E183" s="158">
        <v>560.82999999999993</v>
      </c>
      <c r="F183" s="143">
        <v>448.66</v>
      </c>
      <c r="G183" s="144">
        <f t="shared" si="9"/>
        <v>124627.95</v>
      </c>
      <c r="H183" s="145">
        <f t="shared" si="10"/>
        <v>99702.35</v>
      </c>
      <c r="I183" s="142">
        <f>IPI!C168</f>
        <v>0</v>
      </c>
      <c r="J183" s="142">
        <f>IPI!D168</f>
        <v>0</v>
      </c>
      <c r="K183" s="142">
        <f>IPVA!N79</f>
        <v>18591.740000000002</v>
      </c>
      <c r="L183" s="143">
        <f>IPVA!P79</f>
        <v>14873.400000000001</v>
      </c>
      <c r="M183" s="175">
        <f>CIDE!A174</f>
        <v>0</v>
      </c>
      <c r="N183" s="175">
        <f>CIDE!C174</f>
        <v>0</v>
      </c>
      <c r="O183" s="175">
        <f>CIDE!D174</f>
        <v>0</v>
      </c>
    </row>
    <row r="184" spans="1:18" ht="15" customHeight="1">
      <c r="A184" s="151" t="s">
        <v>195</v>
      </c>
      <c r="B184" s="146">
        <v>4.97</v>
      </c>
      <c r="C184" s="142">
        <f>ICMS!N80</f>
        <v>958963.61</v>
      </c>
      <c r="D184" s="143">
        <f>ICMS!P80</f>
        <v>767170.89</v>
      </c>
      <c r="E184" s="158">
        <v>4844.88</v>
      </c>
      <c r="F184" s="143">
        <v>3875.9100000000003</v>
      </c>
      <c r="G184" s="144">
        <f t="shared" si="9"/>
        <v>963808.49</v>
      </c>
      <c r="H184" s="145">
        <f t="shared" si="10"/>
        <v>771046.8</v>
      </c>
      <c r="I184" s="142">
        <f>IPI!C169</f>
        <v>0</v>
      </c>
      <c r="J184" s="142">
        <f>IPI!D169</f>
        <v>0</v>
      </c>
      <c r="K184" s="142">
        <f>IPVA!N80</f>
        <v>442825.20999999996</v>
      </c>
      <c r="L184" s="143">
        <f>IPVA!P80</f>
        <v>354260.18</v>
      </c>
      <c r="M184" s="175">
        <f>CIDE!A175</f>
        <v>0</v>
      </c>
      <c r="N184" s="175">
        <f>CIDE!C175</f>
        <v>0</v>
      </c>
      <c r="O184" s="175">
        <f>CIDE!D175</f>
        <v>0</v>
      </c>
    </row>
    <row r="185" spans="1:18" ht="15" customHeight="1">
      <c r="A185" s="152" t="s">
        <v>196</v>
      </c>
      <c r="B185" s="146">
        <v>13.843</v>
      </c>
      <c r="C185" s="147">
        <f>ICMS!N81</f>
        <v>2671012.7799999998</v>
      </c>
      <c r="D185" s="148">
        <f>ICMS!P81</f>
        <v>2136810.19</v>
      </c>
      <c r="E185" s="159">
        <v>13084.41</v>
      </c>
      <c r="F185" s="148">
        <v>10467.51</v>
      </c>
      <c r="G185" s="149">
        <f t="shared" si="9"/>
        <v>2684097.19</v>
      </c>
      <c r="H185" s="150">
        <f t="shared" si="10"/>
        <v>2147277.6999999997</v>
      </c>
      <c r="I185" s="147">
        <f>IPI!C170</f>
        <v>0</v>
      </c>
      <c r="J185" s="147">
        <f>IPI!D170</f>
        <v>0</v>
      </c>
      <c r="K185" s="147">
        <f>IPVA!N81</f>
        <v>512960.06</v>
      </c>
      <c r="L185" s="148">
        <f>IPVA!P81</f>
        <v>410368.05999999994</v>
      </c>
      <c r="M185" s="175">
        <f>CIDE!A176</f>
        <v>0</v>
      </c>
      <c r="N185" s="175">
        <f>CIDE!C176</f>
        <v>0</v>
      </c>
      <c r="O185" s="175">
        <f>CIDE!D176</f>
        <v>0</v>
      </c>
    </row>
    <row r="186" spans="1:18" ht="15" customHeight="1">
      <c r="A186" s="160" t="s">
        <v>2</v>
      </c>
      <c r="B186" s="153">
        <v>1.0000000000000002</v>
      </c>
      <c r="C186" s="154">
        <f>SUM(C108:C185)</f>
        <v>19295042.460000005</v>
      </c>
      <c r="D186" s="154">
        <f>SUM(D108:D185)</f>
        <v>15436033.990000002</v>
      </c>
      <c r="E186" s="154">
        <v>90020.11000000003</v>
      </c>
      <c r="F186" s="154">
        <v>72016.09</v>
      </c>
      <c r="G186" s="155">
        <f t="shared" si="9"/>
        <v>19385062.570000004</v>
      </c>
      <c r="H186" s="155">
        <f t="shared" si="10"/>
        <v>15508050.080000002</v>
      </c>
      <c r="I186" s="154">
        <f>SUM(I108:I185)</f>
        <v>0</v>
      </c>
      <c r="J186" s="154">
        <f>SUM(J108:J185)</f>
        <v>0</v>
      </c>
      <c r="K186" s="154">
        <f>SUM(K108:K185)</f>
        <v>4177886.9299999997</v>
      </c>
      <c r="L186" s="154">
        <f>SUM(L108:L185)</f>
        <v>3342310.1700000009</v>
      </c>
      <c r="M186" s="209">
        <f t="shared" ref="M186:N186" si="11">SUM(M108:M185)</f>
        <v>0</v>
      </c>
      <c r="N186" s="209">
        <f t="shared" si="11"/>
        <v>0</v>
      </c>
      <c r="O186" s="209">
        <f t="shared" ref="O186" si="12">SUM(O108:O185)</f>
        <v>0</v>
      </c>
    </row>
    <row r="187" spans="1:18" ht="22.5" customHeight="1">
      <c r="A187" s="137" t="s">
        <v>271</v>
      </c>
      <c r="B187" s="128"/>
      <c r="C187" s="129"/>
      <c r="D187" s="129"/>
      <c r="E187" s="129"/>
      <c r="F187" s="129"/>
      <c r="G187" s="129"/>
      <c r="H187" s="129"/>
      <c r="I187" s="129"/>
      <c r="J187" s="129"/>
      <c r="K187" s="434" t="s">
        <v>197</v>
      </c>
      <c r="L187" s="434"/>
      <c r="M187" s="434"/>
      <c r="N187" s="434"/>
      <c r="O187" s="434"/>
      <c r="P187" s="210"/>
      <c r="Q187" s="210"/>
      <c r="R187" s="210"/>
    </row>
    <row r="188" spans="1:18" ht="15" customHeight="1">
      <c r="A188" s="426" t="s">
        <v>317</v>
      </c>
      <c r="B188" s="426"/>
      <c r="C188" s="426"/>
      <c r="D188" s="426"/>
      <c r="E188" s="426"/>
      <c r="F188" s="426"/>
      <c r="G188" s="426"/>
      <c r="H188" s="426"/>
      <c r="I188" s="426"/>
      <c r="J188" s="426"/>
      <c r="K188" s="426"/>
      <c r="L188" s="426"/>
      <c r="M188" s="426"/>
    </row>
    <row r="189" spans="1:18" ht="15" customHeight="1">
      <c r="A189" s="422" t="s">
        <v>397</v>
      </c>
      <c r="B189" s="422"/>
      <c r="C189" s="422"/>
      <c r="D189" s="422"/>
      <c r="E189" s="422"/>
      <c r="F189" s="422"/>
      <c r="G189" s="422"/>
      <c r="H189" s="422"/>
      <c r="I189" s="422"/>
      <c r="J189" s="422"/>
      <c r="K189" s="422"/>
      <c r="L189" s="422"/>
      <c r="M189" s="422"/>
      <c r="N189" s="422"/>
      <c r="O189" s="422"/>
    </row>
    <row r="190" spans="1:18" ht="15" customHeight="1">
      <c r="A190" s="422" t="str">
        <f>A93</f>
        <v>3 - No tocante ao IPI, é necessário abater 20% referente ao FUNDEB para obter o valor líquido e, do valor apurado, abater 1% referente à retenção do PIS/PASEP efetuada pela União.</v>
      </c>
      <c r="B190" s="422"/>
      <c r="C190" s="422"/>
      <c r="D190" s="422"/>
      <c r="E190" s="422"/>
      <c r="F190" s="422"/>
      <c r="G190" s="422"/>
      <c r="H190" s="422"/>
      <c r="I190" s="422"/>
      <c r="J190" s="422"/>
      <c r="K190" s="422"/>
      <c r="L190" s="422"/>
      <c r="M190" s="422"/>
      <c r="N190" s="422"/>
      <c r="O190" s="422"/>
    </row>
    <row r="191" spans="1:18" ht="15" customHeight="1">
      <c r="A191" s="426" t="s">
        <v>395</v>
      </c>
      <c r="B191" s="426"/>
      <c r="C191" s="426"/>
      <c r="D191" s="426"/>
      <c r="E191" s="426"/>
      <c r="F191" s="426"/>
      <c r="G191" s="426"/>
      <c r="H191" s="426"/>
      <c r="I191" s="426"/>
      <c r="J191" s="426"/>
      <c r="K191" s="426"/>
      <c r="L191" s="426"/>
      <c r="M191" s="426"/>
    </row>
    <row r="192" spans="1:18" s="265" customFormat="1" ht="15" customHeight="1">
      <c r="A192" s="430" t="s">
        <v>631</v>
      </c>
      <c r="B192" s="430"/>
      <c r="C192" s="430"/>
      <c r="D192" s="430"/>
      <c r="E192" s="430"/>
      <c r="F192" s="430"/>
      <c r="G192" s="430"/>
      <c r="H192" s="430"/>
      <c r="I192" s="430"/>
      <c r="J192" s="430"/>
      <c r="K192" s="430"/>
      <c r="L192" s="430"/>
      <c r="M192" s="430"/>
      <c r="N192" s="292"/>
      <c r="O192" s="292"/>
    </row>
    <row r="193" spans="1:13" ht="15" customHeight="1">
      <c r="A193" s="125"/>
      <c r="B193" s="127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</row>
    <row r="194" spans="1:13" ht="15" customHeight="1">
      <c r="A194" s="125"/>
      <c r="B194" s="127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</row>
    <row r="195" spans="1:13" ht="15" customHeight="1">
      <c r="A195" s="125"/>
      <c r="B195" s="127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</row>
    <row r="196" spans="1:13" ht="15" customHeight="1">
      <c r="A196" s="125"/>
      <c r="B196" s="127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</row>
    <row r="197" spans="1:13" ht="15" customHeight="1">
      <c r="A197" s="125"/>
      <c r="B197" s="127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</row>
    <row r="198" spans="1:13" ht="15" customHeight="1">
      <c r="A198" s="125"/>
      <c r="B198" s="127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</row>
    <row r="199" spans="1:13" ht="15" customHeight="1">
      <c r="A199" s="125"/>
      <c r="B199" s="127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</row>
    <row r="200" spans="1:13" ht="15" customHeight="1">
      <c r="A200" s="125"/>
      <c r="B200" s="127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</row>
    <row r="201" spans="1:13" ht="15" customHeight="1">
      <c r="A201" s="125"/>
      <c r="B201" s="127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</row>
    <row r="202" spans="1:13" ht="15" customHeight="1">
      <c r="A202" s="125"/>
      <c r="B202" s="127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</row>
    <row r="203" spans="1:13" ht="15" customHeight="1">
      <c r="A203" s="125"/>
      <c r="B203" s="127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</row>
    <row r="204" spans="1:13" ht="15" customHeight="1">
      <c r="A204" s="125"/>
      <c r="B204" s="127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</row>
    <row r="205" spans="1:13" ht="15" customHeight="1">
      <c r="A205" s="125"/>
      <c r="B205" s="127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</row>
    <row r="206" spans="1:13" ht="15" customHeight="1">
      <c r="A206" s="125"/>
      <c r="B206" s="127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</row>
    <row r="207" spans="1:13" ht="15" customHeight="1">
      <c r="C207" s="119"/>
      <c r="D207" s="119"/>
      <c r="F207" s="119"/>
    </row>
    <row r="208" spans="1:13" ht="15" customHeight="1">
      <c r="C208" s="119"/>
      <c r="D208" s="119"/>
      <c r="F208" s="119"/>
    </row>
    <row r="209" spans="3:6" ht="15" customHeight="1">
      <c r="C209" s="119"/>
      <c r="D209" s="119"/>
      <c r="F209" s="119"/>
    </row>
    <row r="210" spans="3:6" ht="15" customHeight="1">
      <c r="C210" s="119"/>
      <c r="D210" s="119"/>
      <c r="F210" s="119"/>
    </row>
    <row r="211" spans="3:6" ht="15" customHeight="1">
      <c r="C211" s="119"/>
      <c r="D211" s="119"/>
    </row>
    <row r="212" spans="3:6" ht="15" customHeight="1">
      <c r="C212" s="119"/>
      <c r="D212" s="119"/>
    </row>
    <row r="213" spans="3:6" ht="15" customHeight="1">
      <c r="C213" s="119"/>
      <c r="D213" s="119"/>
    </row>
    <row r="214" spans="3:6" ht="15" customHeight="1">
      <c r="C214" s="119"/>
      <c r="D214" s="119"/>
    </row>
    <row r="215" spans="3:6" ht="15" customHeight="1">
      <c r="C215" s="119"/>
      <c r="D215" s="119"/>
    </row>
    <row r="216" spans="3:6" ht="15" customHeight="1">
      <c r="C216" s="119"/>
      <c r="D216" s="119"/>
    </row>
    <row r="217" spans="3:6" ht="15" customHeight="1">
      <c r="C217" s="119"/>
      <c r="D217" s="119"/>
    </row>
    <row r="218" spans="3:6" ht="15" customHeight="1">
      <c r="C218" s="119"/>
      <c r="D218" s="119"/>
    </row>
    <row r="219" spans="3:6" ht="15" customHeight="1">
      <c r="C219" s="119"/>
      <c r="D219" s="119"/>
    </row>
    <row r="220" spans="3:6" ht="15" customHeight="1">
      <c r="C220" s="119"/>
      <c r="D220" s="119"/>
    </row>
    <row r="221" spans="3:6" ht="15" customHeight="1">
      <c r="C221" s="119"/>
      <c r="D221" s="119"/>
    </row>
    <row r="222" spans="3:6" ht="15" customHeight="1">
      <c r="C222" s="119"/>
      <c r="D222" s="119"/>
    </row>
    <row r="223" spans="3:6" ht="15" customHeight="1">
      <c r="C223" s="119"/>
      <c r="D223" s="119"/>
    </row>
    <row r="224" spans="3:6" ht="15" customHeight="1">
      <c r="C224" s="119"/>
      <c r="D224" s="119"/>
    </row>
    <row r="225" spans="3:4" ht="15" customHeight="1">
      <c r="C225" s="119"/>
      <c r="D225" s="119"/>
    </row>
    <row r="226" spans="3:4" ht="15" customHeight="1">
      <c r="C226" s="119"/>
      <c r="D226" s="119"/>
    </row>
  </sheetData>
  <mergeCells count="48">
    <mergeCell ref="A1:O1"/>
    <mergeCell ref="A2:O2"/>
    <mergeCell ref="A3:O3"/>
    <mergeCell ref="A4:O4"/>
    <mergeCell ref="N9:O9"/>
    <mergeCell ref="C9:D9"/>
    <mergeCell ref="A5:O5"/>
    <mergeCell ref="A6:O6"/>
    <mergeCell ref="M9:M10"/>
    <mergeCell ref="Q2:R2"/>
    <mergeCell ref="P98:Q98"/>
    <mergeCell ref="G9:H9"/>
    <mergeCell ref="I9:J9"/>
    <mergeCell ref="A8:J8"/>
    <mergeCell ref="E9:F9"/>
    <mergeCell ref="A95:M95"/>
    <mergeCell ref="K9:L9"/>
    <mergeCell ref="A9:A10"/>
    <mergeCell ref="B9:B10"/>
    <mergeCell ref="K90:O90"/>
    <mergeCell ref="A93:O93"/>
    <mergeCell ref="A92:O92"/>
    <mergeCell ref="A96:M96"/>
    <mergeCell ref="A98:O98"/>
    <mergeCell ref="A192:M192"/>
    <mergeCell ref="A188:M188"/>
    <mergeCell ref="I106:J106"/>
    <mergeCell ref="K106:L106"/>
    <mergeCell ref="A106:A107"/>
    <mergeCell ref="B106:B107"/>
    <mergeCell ref="C106:D106"/>
    <mergeCell ref="E106:F106"/>
    <mergeCell ref="G106:H106"/>
    <mergeCell ref="A190:O190"/>
    <mergeCell ref="N106:O106"/>
    <mergeCell ref="K187:O187"/>
    <mergeCell ref="A189:O189"/>
    <mergeCell ref="A91:O91"/>
    <mergeCell ref="M106:M107"/>
    <mergeCell ref="A94:O94"/>
    <mergeCell ref="A97:M97"/>
    <mergeCell ref="A191:M191"/>
    <mergeCell ref="A101:O101"/>
    <mergeCell ref="A102:O102"/>
    <mergeCell ref="A103:O103"/>
    <mergeCell ref="A105:J105"/>
    <mergeCell ref="A99:O99"/>
    <mergeCell ref="A100:O100"/>
  </mergeCells>
  <printOptions horizontalCentered="1" verticalCentered="1"/>
  <pageMargins left="0" right="0" top="0" bottom="0" header="0" footer="0"/>
  <pageSetup paperSize="9" scale="50" fitToHeight="2" orientation="portrait" verticalDpi="1200" r:id="rId1"/>
  <rowBreaks count="1" manualBreakCount="1">
    <brk id="97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zoomScale="85" zoomScaleNormal="85" workbookViewId="0">
      <pane ySplit="3" topLeftCell="A52" activePane="bottomLeft" state="frozen"/>
      <selection activeCell="A2" sqref="A2"/>
      <selection pane="bottomLeft" activeCell="B84" sqref="B84"/>
    </sheetView>
  </sheetViews>
  <sheetFormatPr defaultRowHeight="15"/>
  <cols>
    <col min="1" max="1" width="29.140625" customWidth="1"/>
    <col min="2" max="2" width="15.42578125" bestFit="1" customWidth="1"/>
    <col min="3" max="3" width="12.85546875" customWidth="1"/>
    <col min="4" max="4" width="15.42578125" bestFit="1" customWidth="1"/>
    <col min="6" max="6" width="15.42578125" bestFit="1" customWidth="1"/>
    <col min="7" max="7" width="12.85546875" customWidth="1"/>
    <col min="8" max="8" width="15.42578125" bestFit="1" customWidth="1"/>
    <col min="11" max="13" width="16.140625" customWidth="1"/>
    <col min="14" max="14" width="19" customWidth="1"/>
    <col min="15" max="15" width="17.7109375" customWidth="1"/>
    <col min="16" max="16" width="16.7109375" customWidth="1"/>
  </cols>
  <sheetData>
    <row r="1" spans="1:16">
      <c r="A1" s="104">
        <f ca="1">ICMS!B1</f>
        <v>45348</v>
      </c>
      <c r="B1" s="452">
        <f ca="1">ICMS!B1</f>
        <v>45348</v>
      </c>
      <c r="C1" s="452"/>
      <c r="D1" s="452"/>
      <c r="F1" s="454"/>
      <c r="G1" s="453"/>
      <c r="H1" s="453"/>
      <c r="K1" s="453" t="s">
        <v>413</v>
      </c>
      <c r="L1" s="453"/>
      <c r="M1" s="453"/>
      <c r="N1" s="453"/>
      <c r="O1" s="453"/>
      <c r="P1" s="453"/>
    </row>
    <row r="2" spans="1:16">
      <c r="A2" s="316"/>
      <c r="B2" s="454" t="s">
        <v>416</v>
      </c>
      <c r="C2" s="453"/>
      <c r="D2" s="453"/>
      <c r="F2" s="317"/>
      <c r="G2" s="310"/>
      <c r="H2" s="310"/>
      <c r="K2" s="310"/>
      <c r="L2" s="310"/>
      <c r="M2" s="310"/>
      <c r="N2" s="310"/>
      <c r="O2" s="318"/>
      <c r="P2" s="310"/>
    </row>
    <row r="3" spans="1:16">
      <c r="A3" s="1" t="s">
        <v>0</v>
      </c>
      <c r="B3" s="130" t="s">
        <v>321</v>
      </c>
      <c r="C3" s="131" t="s">
        <v>1</v>
      </c>
      <c r="D3" s="130" t="s">
        <v>322</v>
      </c>
      <c r="F3" s="130" t="s">
        <v>321</v>
      </c>
      <c r="G3" s="131" t="s">
        <v>1</v>
      </c>
      <c r="H3" s="130" t="s">
        <v>322</v>
      </c>
      <c r="K3" s="130" t="s">
        <v>321</v>
      </c>
      <c r="L3" s="130" t="s">
        <v>412</v>
      </c>
      <c r="M3" s="131" t="s">
        <v>1</v>
      </c>
      <c r="N3" s="130" t="s">
        <v>322</v>
      </c>
      <c r="O3" s="293"/>
      <c r="P3" s="130" t="s">
        <v>409</v>
      </c>
    </row>
    <row r="4" spans="1:16">
      <c r="A4" t="s">
        <v>4</v>
      </c>
      <c r="B4" s="4"/>
      <c r="C4" s="4"/>
      <c r="D4" s="4"/>
      <c r="F4" s="4"/>
      <c r="G4" s="4"/>
      <c r="H4" s="4"/>
      <c r="K4" s="4"/>
      <c r="L4" s="4"/>
      <c r="M4" s="4"/>
      <c r="N4" s="4"/>
      <c r="O4" s="4"/>
      <c r="P4" s="3"/>
    </row>
    <row r="5" spans="1:16">
      <c r="A5" t="s">
        <v>5</v>
      </c>
      <c r="B5" s="4"/>
      <c r="C5" s="4"/>
      <c r="D5" s="4"/>
      <c r="F5" s="4"/>
      <c r="G5" s="4"/>
      <c r="H5" s="4"/>
      <c r="K5" s="4"/>
      <c r="L5" s="4"/>
      <c r="M5" s="4"/>
      <c r="N5" s="4"/>
      <c r="O5" s="4"/>
      <c r="P5" s="3"/>
    </row>
    <row r="6" spans="1:16">
      <c r="A6" t="s">
        <v>6</v>
      </c>
      <c r="B6" s="4"/>
      <c r="C6" s="4"/>
      <c r="D6" s="4"/>
      <c r="F6" s="4"/>
      <c r="G6" s="4"/>
      <c r="H6" s="4"/>
      <c r="K6" s="4"/>
      <c r="L6" s="4"/>
      <c r="M6" s="4"/>
      <c r="N6" s="4"/>
      <c r="O6" s="4"/>
      <c r="P6" s="3"/>
    </row>
    <row r="7" spans="1:16">
      <c r="A7" t="s">
        <v>7</v>
      </c>
      <c r="B7" s="4"/>
      <c r="C7" s="4"/>
      <c r="D7" s="4"/>
      <c r="F7" s="4"/>
      <c r="G7" s="4"/>
      <c r="H7" s="4"/>
      <c r="K7" s="4"/>
      <c r="L7" s="4"/>
      <c r="M7" s="4"/>
      <c r="N7" s="4"/>
      <c r="O7" s="4"/>
      <c r="P7" s="3"/>
    </row>
    <row r="8" spans="1:16">
      <c r="A8" t="s">
        <v>8</v>
      </c>
      <c r="B8" s="4"/>
      <c r="C8" s="4"/>
      <c r="D8" s="4"/>
      <c r="F8" s="4"/>
      <c r="G8" s="4"/>
      <c r="H8" s="4"/>
      <c r="K8" s="4"/>
      <c r="L8" s="4"/>
      <c r="M8" s="4"/>
      <c r="N8" s="4"/>
      <c r="O8" s="4"/>
      <c r="P8" s="3"/>
    </row>
    <row r="9" spans="1:16">
      <c r="A9" t="s">
        <v>9</v>
      </c>
      <c r="B9" s="4"/>
      <c r="C9" s="4"/>
      <c r="D9" s="4"/>
      <c r="F9" s="4"/>
      <c r="G9" s="4"/>
      <c r="H9" s="4"/>
      <c r="K9" s="4"/>
      <c r="L9" s="4"/>
      <c r="M9" s="4"/>
      <c r="N9" s="4"/>
      <c r="O9" s="4"/>
      <c r="P9" s="3"/>
    </row>
    <row r="10" spans="1:16">
      <c r="A10" t="s">
        <v>10</v>
      </c>
      <c r="B10" s="4"/>
      <c r="C10" s="4"/>
      <c r="D10" s="4"/>
      <c r="F10" s="4"/>
      <c r="G10" s="4"/>
      <c r="H10" s="4"/>
      <c r="K10" s="4"/>
      <c r="L10" s="4"/>
      <c r="M10" s="4"/>
      <c r="N10" s="4"/>
      <c r="O10" s="4"/>
      <c r="P10" s="3"/>
    </row>
    <row r="11" spans="1:16">
      <c r="A11" t="s">
        <v>11</v>
      </c>
      <c r="B11" s="4"/>
      <c r="C11" s="4"/>
      <c r="D11" s="4"/>
      <c r="F11" s="4"/>
      <c r="G11" s="4"/>
      <c r="H11" s="4"/>
      <c r="K11" s="4"/>
      <c r="L11" s="4"/>
      <c r="M11" s="4"/>
      <c r="N11" s="4"/>
      <c r="O11" s="4"/>
      <c r="P11" s="3"/>
    </row>
    <row r="12" spans="1:16">
      <c r="A12" t="s">
        <v>12</v>
      </c>
      <c r="B12" s="4"/>
      <c r="C12" s="4"/>
      <c r="D12" s="4"/>
      <c r="F12" s="4"/>
      <c r="G12" s="4"/>
      <c r="H12" s="4"/>
      <c r="K12" s="4"/>
      <c r="L12" s="4"/>
      <c r="M12" s="4"/>
      <c r="N12" s="4"/>
      <c r="O12" s="4"/>
      <c r="P12" s="3"/>
    </row>
    <row r="13" spans="1:16">
      <c r="A13" t="s">
        <v>13</v>
      </c>
      <c r="B13" s="4"/>
      <c r="C13" s="4"/>
      <c r="D13" s="4"/>
      <c r="F13" s="4"/>
      <c r="G13" s="4"/>
      <c r="H13" s="4"/>
      <c r="K13" s="4"/>
      <c r="L13" s="4"/>
      <c r="M13" s="4"/>
      <c r="N13" s="4"/>
      <c r="O13" s="4"/>
      <c r="P13" s="3"/>
    </row>
    <row r="14" spans="1:16">
      <c r="A14" t="s">
        <v>14</v>
      </c>
      <c r="B14" s="4"/>
      <c r="C14" s="4"/>
      <c r="D14" s="4"/>
      <c r="F14" s="4"/>
      <c r="G14" s="4"/>
      <c r="H14" s="4"/>
      <c r="K14" s="4"/>
      <c r="L14" s="4"/>
      <c r="M14" s="4"/>
      <c r="N14" s="4"/>
      <c r="O14" s="4"/>
      <c r="P14" s="3"/>
    </row>
    <row r="15" spans="1:16">
      <c r="A15" t="s">
        <v>15</v>
      </c>
      <c r="B15" s="4"/>
      <c r="C15" s="4"/>
      <c r="D15" s="4"/>
      <c r="F15" s="4"/>
      <c r="G15" s="4"/>
      <c r="H15" s="4"/>
      <c r="K15" s="4"/>
      <c r="L15" s="4"/>
      <c r="M15" s="4"/>
      <c r="N15" s="4"/>
      <c r="O15" s="4"/>
      <c r="P15" s="3"/>
    </row>
    <row r="16" spans="1:16">
      <c r="A16" t="s">
        <v>323</v>
      </c>
      <c r="B16" s="4"/>
      <c r="C16" s="4"/>
      <c r="D16" s="4"/>
      <c r="F16" s="4"/>
      <c r="G16" s="4"/>
      <c r="H16" s="4"/>
      <c r="K16" s="4"/>
      <c r="L16" s="4"/>
      <c r="M16" s="4"/>
      <c r="N16" s="4"/>
      <c r="O16" s="4"/>
      <c r="P16" s="3"/>
    </row>
    <row r="17" spans="1:16">
      <c r="A17" t="s">
        <v>16</v>
      </c>
      <c r="B17" s="4"/>
      <c r="D17" s="4"/>
      <c r="F17" s="4"/>
      <c r="H17" s="4"/>
      <c r="K17" s="4"/>
      <c r="L17" s="4"/>
      <c r="M17" s="4"/>
      <c r="N17" s="4"/>
      <c r="O17" s="4"/>
      <c r="P17" s="3"/>
    </row>
    <row r="18" spans="1:16">
      <c r="A18" t="s">
        <v>17</v>
      </c>
      <c r="B18" s="4"/>
      <c r="C18" s="4"/>
      <c r="D18" s="4"/>
      <c r="F18" s="4"/>
      <c r="G18" s="4"/>
      <c r="H18" s="4"/>
      <c r="K18" s="4"/>
      <c r="L18" s="4"/>
      <c r="M18" s="4"/>
      <c r="N18" s="4"/>
      <c r="O18" s="4"/>
      <c r="P18" s="3"/>
    </row>
    <row r="19" spans="1:16">
      <c r="A19" t="s">
        <v>18</v>
      </c>
      <c r="B19" s="4"/>
      <c r="C19" s="4"/>
      <c r="D19" s="4"/>
      <c r="F19" s="4"/>
      <c r="G19" s="4"/>
      <c r="H19" s="4"/>
      <c r="K19" s="4"/>
      <c r="L19" s="4"/>
      <c r="M19" s="4"/>
      <c r="N19" s="4"/>
      <c r="O19" s="4"/>
      <c r="P19" s="3"/>
    </row>
    <row r="20" spans="1:16">
      <c r="A20" t="s">
        <v>19</v>
      </c>
      <c r="B20" s="4"/>
      <c r="C20" s="4"/>
      <c r="D20" s="4"/>
      <c r="F20" s="4"/>
      <c r="G20" s="4"/>
      <c r="H20" s="4"/>
      <c r="K20" s="4"/>
      <c r="L20" s="4"/>
      <c r="M20" s="4"/>
      <c r="N20" s="4"/>
      <c r="O20" s="4"/>
      <c r="P20" s="3"/>
    </row>
    <row r="21" spans="1:16">
      <c r="A21" t="s">
        <v>20</v>
      </c>
      <c r="B21" s="4"/>
      <c r="C21" s="4"/>
      <c r="D21" s="4"/>
      <c r="F21" s="4"/>
      <c r="G21" s="4"/>
      <c r="H21" s="4"/>
      <c r="K21" s="4"/>
      <c r="L21" s="4"/>
      <c r="M21" s="4"/>
      <c r="N21" s="4"/>
      <c r="O21" s="4"/>
      <c r="P21" s="3"/>
    </row>
    <row r="22" spans="1:16">
      <c r="A22" t="s">
        <v>21</v>
      </c>
      <c r="B22" s="4"/>
      <c r="C22" s="4"/>
      <c r="D22" s="4"/>
      <c r="F22" s="4"/>
      <c r="G22" s="4"/>
      <c r="H22" s="4"/>
      <c r="K22" s="4"/>
      <c r="L22" s="4"/>
      <c r="M22" s="4"/>
      <c r="N22" s="4"/>
      <c r="O22" s="4"/>
      <c r="P22" s="3"/>
    </row>
    <row r="23" spans="1:16">
      <c r="A23" t="s">
        <v>324</v>
      </c>
      <c r="B23" s="4"/>
      <c r="C23" s="4"/>
      <c r="D23" s="4"/>
      <c r="F23" s="4"/>
      <c r="G23" s="4"/>
      <c r="H23" s="4"/>
      <c r="K23" s="4"/>
      <c r="L23" s="4"/>
      <c r="M23" s="4"/>
      <c r="N23" s="4"/>
      <c r="O23" s="4"/>
      <c r="P23" s="3"/>
    </row>
    <row r="24" spans="1:16">
      <c r="A24" t="s">
        <v>325</v>
      </c>
      <c r="B24" s="4"/>
      <c r="C24" s="4"/>
      <c r="D24" s="4"/>
      <c r="F24" s="4"/>
      <c r="G24" s="4"/>
      <c r="H24" s="4"/>
      <c r="K24" s="4"/>
      <c r="L24" s="4"/>
      <c r="M24" s="4"/>
      <c r="N24" s="4"/>
      <c r="O24" s="4"/>
      <c r="P24" s="3"/>
    </row>
    <row r="25" spans="1:16">
      <c r="A25" t="s">
        <v>326</v>
      </c>
      <c r="B25" s="4"/>
      <c r="C25" s="4"/>
      <c r="D25" s="4"/>
      <c r="F25" s="4"/>
      <c r="G25" s="4"/>
      <c r="H25" s="4"/>
      <c r="K25" s="4"/>
      <c r="L25" s="4"/>
      <c r="M25" s="4"/>
      <c r="N25" s="4"/>
      <c r="O25" s="4"/>
      <c r="P25" s="3"/>
    </row>
    <row r="26" spans="1:16">
      <c r="A26" t="s">
        <v>22</v>
      </c>
      <c r="B26" s="4"/>
      <c r="C26" s="4"/>
      <c r="D26" s="4"/>
      <c r="F26" s="4"/>
      <c r="G26" s="4"/>
      <c r="H26" s="4"/>
      <c r="K26" s="4"/>
      <c r="L26" s="4"/>
      <c r="M26" s="4"/>
      <c r="N26" s="4"/>
      <c r="O26" s="4"/>
      <c r="P26" s="3"/>
    </row>
    <row r="27" spans="1:16">
      <c r="A27" t="s">
        <v>23</v>
      </c>
      <c r="B27" s="4"/>
      <c r="C27" s="4"/>
      <c r="D27" s="4"/>
      <c r="F27" s="4"/>
      <c r="G27" s="4"/>
      <c r="H27" s="4"/>
      <c r="K27" s="4"/>
      <c r="L27" s="4"/>
      <c r="M27" s="4"/>
      <c r="N27" s="4"/>
      <c r="O27" s="4"/>
      <c r="P27" s="3"/>
    </row>
    <row r="28" spans="1:16">
      <c r="A28" t="s">
        <v>24</v>
      </c>
      <c r="B28" s="4"/>
      <c r="C28" s="4"/>
      <c r="D28" s="4"/>
      <c r="F28" s="4"/>
      <c r="G28" s="4"/>
      <c r="H28" s="4"/>
      <c r="K28" s="4"/>
      <c r="L28" s="4"/>
      <c r="M28" s="4"/>
      <c r="N28" s="4"/>
      <c r="O28" s="4"/>
      <c r="P28" s="3"/>
    </row>
    <row r="29" spans="1:16">
      <c r="A29" t="s">
        <v>25</v>
      </c>
      <c r="B29" s="4"/>
      <c r="C29" s="4"/>
      <c r="D29" s="4"/>
      <c r="F29" s="4"/>
      <c r="G29" s="4"/>
      <c r="H29" s="4"/>
      <c r="K29" s="4"/>
      <c r="L29" s="4"/>
      <c r="M29" s="4"/>
      <c r="N29" s="4"/>
      <c r="O29" s="4"/>
      <c r="P29" s="3"/>
    </row>
    <row r="30" spans="1:16">
      <c r="A30" t="s">
        <v>26</v>
      </c>
      <c r="B30" s="4"/>
      <c r="C30" s="4"/>
      <c r="D30" s="4"/>
      <c r="F30" s="4"/>
      <c r="G30" s="4"/>
      <c r="H30" s="4"/>
      <c r="K30" s="4"/>
      <c r="L30" s="4"/>
      <c r="M30" s="4"/>
      <c r="N30" s="4"/>
      <c r="O30" s="4"/>
      <c r="P30" s="3"/>
    </row>
    <row r="31" spans="1:16">
      <c r="A31" t="s">
        <v>327</v>
      </c>
      <c r="B31" s="4"/>
      <c r="C31" s="4"/>
      <c r="D31" s="4"/>
      <c r="F31" s="4"/>
      <c r="G31" s="4"/>
      <c r="H31" s="4"/>
      <c r="K31" s="4"/>
      <c r="L31" s="4"/>
      <c r="M31" s="4"/>
      <c r="N31" s="4"/>
      <c r="O31" s="4"/>
      <c r="P31" s="3"/>
    </row>
    <row r="32" spans="1:16">
      <c r="A32" t="s">
        <v>27</v>
      </c>
      <c r="B32" s="4"/>
      <c r="C32" s="4"/>
      <c r="D32" s="4"/>
      <c r="F32" s="4"/>
      <c r="G32" s="4"/>
      <c r="H32" s="4"/>
      <c r="K32" s="4"/>
      <c r="L32" s="4"/>
      <c r="M32" s="4"/>
      <c r="N32" s="4"/>
      <c r="O32" s="4"/>
      <c r="P32" s="3"/>
    </row>
    <row r="33" spans="1:16">
      <c r="A33" t="s">
        <v>28</v>
      </c>
      <c r="B33" s="4"/>
      <c r="C33" s="4"/>
      <c r="D33" s="4"/>
      <c r="F33" s="4"/>
      <c r="G33" s="4"/>
      <c r="H33" s="4"/>
      <c r="K33" s="4"/>
      <c r="L33" s="4"/>
      <c r="M33" s="4"/>
      <c r="N33" s="4"/>
      <c r="O33" s="4"/>
      <c r="P33" s="3"/>
    </row>
    <row r="34" spans="1:16">
      <c r="A34" t="s">
        <v>328</v>
      </c>
      <c r="B34" s="4"/>
      <c r="C34" s="4"/>
      <c r="D34" s="4"/>
      <c r="F34" s="4"/>
      <c r="G34" s="4"/>
      <c r="H34" s="4"/>
      <c r="K34" s="4"/>
      <c r="L34" s="4"/>
      <c r="M34" s="4"/>
      <c r="N34" s="4"/>
      <c r="O34" s="4"/>
      <c r="P34" s="3"/>
    </row>
    <row r="35" spans="1:16">
      <c r="A35" t="s">
        <v>29</v>
      </c>
      <c r="B35" s="4"/>
      <c r="C35" s="4"/>
      <c r="D35" s="4"/>
      <c r="F35" s="4"/>
      <c r="G35" s="4"/>
      <c r="H35" s="4"/>
      <c r="K35" s="4"/>
      <c r="L35" s="4"/>
      <c r="M35" s="4"/>
      <c r="N35" s="4"/>
      <c r="O35" s="4"/>
      <c r="P35" s="3"/>
    </row>
    <row r="36" spans="1:16">
      <c r="A36" t="s">
        <v>30</v>
      </c>
      <c r="B36" s="4"/>
      <c r="C36" s="4"/>
      <c r="D36" s="4"/>
      <c r="F36" s="4"/>
      <c r="G36" s="4"/>
      <c r="H36" s="4"/>
      <c r="K36" s="4"/>
      <c r="L36" s="4"/>
      <c r="M36" s="4"/>
      <c r="N36" s="4"/>
      <c r="O36" s="4"/>
      <c r="P36" s="3"/>
    </row>
    <row r="37" spans="1:16">
      <c r="A37" t="s">
        <v>31</v>
      </c>
      <c r="B37" s="4"/>
      <c r="C37" s="4"/>
      <c r="D37" s="4"/>
      <c r="F37" s="4"/>
      <c r="G37" s="4"/>
      <c r="H37" s="4"/>
      <c r="K37" s="4"/>
      <c r="L37" s="4"/>
      <c r="M37" s="4"/>
      <c r="N37" s="4"/>
      <c r="O37" s="4"/>
      <c r="P37" s="3"/>
    </row>
    <row r="38" spans="1:16">
      <c r="A38" t="s">
        <v>329</v>
      </c>
      <c r="B38" s="4"/>
      <c r="C38" s="4"/>
      <c r="D38" s="4"/>
      <c r="F38" s="4"/>
      <c r="G38" s="4"/>
      <c r="H38" s="4"/>
      <c r="K38" s="4"/>
      <c r="L38" s="4"/>
      <c r="M38" s="4"/>
      <c r="N38" s="4"/>
      <c r="O38" s="4"/>
      <c r="P38" s="3"/>
    </row>
    <row r="39" spans="1:16">
      <c r="A39" t="s">
        <v>32</v>
      </c>
      <c r="B39" s="4"/>
      <c r="C39" s="4"/>
      <c r="D39" s="4"/>
      <c r="F39" s="4"/>
      <c r="G39" s="4"/>
      <c r="H39" s="4"/>
      <c r="K39" s="4"/>
      <c r="L39" s="4"/>
      <c r="M39" s="4"/>
      <c r="N39" s="4"/>
      <c r="O39" s="4"/>
      <c r="P39" s="3"/>
    </row>
    <row r="40" spans="1:16">
      <c r="A40" t="s">
        <v>33</v>
      </c>
      <c r="B40" s="4"/>
      <c r="C40" s="4"/>
      <c r="D40" s="4"/>
      <c r="F40" s="4"/>
      <c r="G40" s="4"/>
      <c r="H40" s="4"/>
      <c r="K40" s="4"/>
      <c r="L40" s="4"/>
      <c r="M40" s="4"/>
      <c r="N40" s="4"/>
      <c r="O40" s="4"/>
      <c r="P40" s="3"/>
    </row>
    <row r="41" spans="1:16">
      <c r="A41" t="s">
        <v>34</v>
      </c>
      <c r="B41" s="4"/>
      <c r="C41" s="4"/>
      <c r="D41" s="4"/>
      <c r="F41" s="4"/>
      <c r="G41" s="4"/>
      <c r="H41" s="4"/>
      <c r="K41" s="4"/>
      <c r="L41" s="4"/>
      <c r="M41" s="4"/>
      <c r="N41" s="4"/>
      <c r="O41" s="4"/>
      <c r="P41" s="3"/>
    </row>
    <row r="42" spans="1:16">
      <c r="A42" t="s">
        <v>35</v>
      </c>
      <c r="B42" s="4"/>
      <c r="C42" s="4"/>
      <c r="D42" s="4"/>
      <c r="F42" s="4"/>
      <c r="G42" s="4"/>
      <c r="H42" s="4"/>
      <c r="K42" s="4"/>
      <c r="L42" s="4"/>
      <c r="M42" s="4"/>
      <c r="N42" s="4"/>
      <c r="O42" s="4"/>
      <c r="P42" s="3"/>
    </row>
    <row r="43" spans="1:16">
      <c r="A43" t="s">
        <v>36</v>
      </c>
      <c r="B43" s="4"/>
      <c r="C43" s="4"/>
      <c r="D43" s="4"/>
      <c r="F43" s="4"/>
      <c r="G43" s="4"/>
      <c r="H43" s="4"/>
      <c r="K43" s="4"/>
      <c r="L43" s="4"/>
      <c r="M43" s="4"/>
      <c r="N43" s="4"/>
      <c r="O43" s="4"/>
      <c r="P43" s="3"/>
    </row>
    <row r="44" spans="1:16">
      <c r="A44" t="s">
        <v>37</v>
      </c>
      <c r="B44" s="4"/>
      <c r="C44" s="4"/>
      <c r="D44" s="4"/>
      <c r="F44" s="4"/>
      <c r="G44" s="4"/>
      <c r="H44" s="4"/>
      <c r="K44" s="4"/>
      <c r="L44" s="4"/>
      <c r="M44" s="4"/>
      <c r="N44" s="4"/>
      <c r="O44" s="4"/>
      <c r="P44" s="3"/>
    </row>
    <row r="45" spans="1:16">
      <c r="A45" t="s">
        <v>38</v>
      </c>
      <c r="B45" s="4"/>
      <c r="C45" s="4"/>
      <c r="D45" s="4"/>
      <c r="F45" s="4"/>
      <c r="G45" s="4"/>
      <c r="H45" s="4"/>
      <c r="K45" s="4"/>
      <c r="L45" s="4"/>
      <c r="M45" s="4"/>
      <c r="N45" s="4"/>
      <c r="O45" s="4"/>
      <c r="P45" s="3"/>
    </row>
    <row r="46" spans="1:16">
      <c r="A46" t="s">
        <v>39</v>
      </c>
      <c r="B46" s="4"/>
      <c r="C46" s="4"/>
      <c r="D46" s="4"/>
      <c r="F46" s="4"/>
      <c r="G46" s="4"/>
      <c r="H46" s="4"/>
      <c r="K46" s="4"/>
      <c r="L46" s="4"/>
      <c r="M46" s="4"/>
      <c r="N46" s="4"/>
      <c r="O46" s="4"/>
      <c r="P46" s="3"/>
    </row>
    <row r="47" spans="1:16">
      <c r="A47" t="s">
        <v>40</v>
      </c>
      <c r="B47" s="4"/>
      <c r="C47" s="4"/>
      <c r="D47" s="4"/>
      <c r="F47" s="4"/>
      <c r="G47" s="4"/>
      <c r="H47" s="4"/>
      <c r="K47" s="4"/>
      <c r="L47" s="4"/>
      <c r="M47" s="4"/>
      <c r="N47" s="4"/>
      <c r="O47" s="4"/>
      <c r="P47" s="3"/>
    </row>
    <row r="48" spans="1:16">
      <c r="A48" t="s">
        <v>41</v>
      </c>
      <c r="B48" s="4"/>
      <c r="C48" s="4"/>
      <c r="D48" s="4"/>
      <c r="F48" s="4"/>
      <c r="G48" s="4"/>
      <c r="H48" s="4"/>
      <c r="K48" s="4"/>
      <c r="L48" s="4"/>
      <c r="M48" s="4"/>
      <c r="N48" s="4"/>
      <c r="O48" s="4"/>
      <c r="P48" s="3"/>
    </row>
    <row r="49" spans="1:16">
      <c r="A49" t="s">
        <v>42</v>
      </c>
      <c r="B49" s="4"/>
      <c r="C49" s="4"/>
      <c r="D49" s="4"/>
      <c r="F49" s="4"/>
      <c r="G49" s="4"/>
      <c r="H49" s="4"/>
      <c r="K49" s="4"/>
      <c r="L49" s="4"/>
      <c r="M49" s="4"/>
      <c r="N49" s="4"/>
      <c r="O49" s="4"/>
      <c r="P49" s="3"/>
    </row>
    <row r="50" spans="1:16">
      <c r="A50" t="s">
        <v>43</v>
      </c>
      <c r="B50" s="4"/>
      <c r="C50" s="4"/>
      <c r="D50" s="4"/>
      <c r="F50" s="4"/>
      <c r="G50" s="4"/>
      <c r="H50" s="4"/>
      <c r="K50" s="4"/>
      <c r="L50" s="4"/>
      <c r="M50" s="4"/>
      <c r="N50" s="4"/>
      <c r="O50" s="4"/>
      <c r="P50" s="3"/>
    </row>
    <row r="51" spans="1:16">
      <c r="A51" t="s">
        <v>44</v>
      </c>
      <c r="B51" s="4"/>
      <c r="C51" s="4"/>
      <c r="D51" s="4"/>
      <c r="F51" s="4"/>
      <c r="G51" s="4"/>
      <c r="H51" s="4"/>
      <c r="K51" s="4"/>
      <c r="L51" s="4"/>
      <c r="M51" s="4"/>
      <c r="N51" s="4"/>
      <c r="O51" s="4"/>
      <c r="P51" s="3"/>
    </row>
    <row r="52" spans="1:16">
      <c r="A52" t="s">
        <v>45</v>
      </c>
      <c r="B52" s="4"/>
      <c r="C52" s="4"/>
      <c r="D52" s="4"/>
      <c r="F52" s="4"/>
      <c r="G52" s="4"/>
      <c r="H52" s="4"/>
      <c r="K52" s="4"/>
      <c r="L52" s="4"/>
      <c r="M52" s="4"/>
      <c r="N52" s="4"/>
      <c r="O52" s="4"/>
      <c r="P52" s="3"/>
    </row>
    <row r="53" spans="1:16">
      <c r="A53" t="s">
        <v>46</v>
      </c>
      <c r="B53" s="4"/>
      <c r="C53" s="4"/>
      <c r="D53" s="4"/>
      <c r="F53" s="4"/>
      <c r="G53" s="4"/>
      <c r="H53" s="4"/>
      <c r="K53" s="4"/>
      <c r="L53" s="4"/>
      <c r="M53" s="4"/>
      <c r="N53" s="4"/>
      <c r="O53" s="4"/>
      <c r="P53" s="3"/>
    </row>
    <row r="54" spans="1:16">
      <c r="A54" t="s">
        <v>47</v>
      </c>
      <c r="B54" s="4"/>
      <c r="C54" s="4"/>
      <c r="D54" s="4"/>
      <c r="F54" s="4"/>
      <c r="G54" s="4"/>
      <c r="H54" s="4"/>
      <c r="K54" s="4"/>
      <c r="L54" s="4"/>
      <c r="M54" s="4"/>
      <c r="N54" s="4"/>
      <c r="O54" s="4"/>
      <c r="P54" s="3"/>
    </row>
    <row r="55" spans="1:16">
      <c r="A55" t="s">
        <v>48</v>
      </c>
      <c r="B55" s="4"/>
      <c r="C55" s="4"/>
      <c r="D55" s="4"/>
      <c r="F55" s="4"/>
      <c r="G55" s="4"/>
      <c r="H55" s="4"/>
      <c r="K55" s="4"/>
      <c r="L55" s="4"/>
      <c r="M55" s="4"/>
      <c r="N55" s="4"/>
      <c r="O55" s="4"/>
      <c r="P55" s="3"/>
    </row>
    <row r="56" spans="1:16">
      <c r="A56" t="s">
        <v>49</v>
      </c>
      <c r="B56" s="4"/>
      <c r="C56" s="4"/>
      <c r="D56" s="4"/>
      <c r="F56" s="4"/>
      <c r="G56" s="4"/>
      <c r="H56" s="4"/>
      <c r="K56" s="4"/>
      <c r="L56" s="4"/>
      <c r="M56" s="4"/>
      <c r="N56" s="4"/>
      <c r="O56" s="4"/>
      <c r="P56" s="3"/>
    </row>
    <row r="57" spans="1:16">
      <c r="A57" t="s">
        <v>50</v>
      </c>
      <c r="B57" s="4"/>
      <c r="C57" s="4"/>
      <c r="D57" s="4"/>
      <c r="F57" s="4"/>
      <c r="G57" s="4"/>
      <c r="H57" s="4"/>
      <c r="K57" s="4"/>
      <c r="L57" s="4"/>
      <c r="M57" s="4"/>
      <c r="N57" s="4"/>
      <c r="O57" s="4"/>
      <c r="P57" s="3"/>
    </row>
    <row r="58" spans="1:16">
      <c r="A58" t="s">
        <v>51</v>
      </c>
      <c r="B58" s="4"/>
      <c r="C58" s="4"/>
      <c r="D58" s="4"/>
      <c r="F58" s="4"/>
      <c r="G58" s="4"/>
      <c r="H58" s="4"/>
      <c r="K58" s="4"/>
      <c r="L58" s="4"/>
      <c r="M58" s="4"/>
      <c r="N58" s="4"/>
      <c r="O58" s="4"/>
      <c r="P58" s="3"/>
    </row>
    <row r="59" spans="1:16">
      <c r="A59" t="s">
        <v>52</v>
      </c>
      <c r="B59" s="4"/>
      <c r="C59" s="4"/>
      <c r="D59" s="4"/>
      <c r="F59" s="4"/>
      <c r="G59" s="4"/>
      <c r="H59" s="4"/>
      <c r="K59" s="4"/>
      <c r="L59" s="4"/>
      <c r="M59" s="4"/>
      <c r="N59" s="4"/>
      <c r="O59" s="4"/>
      <c r="P59" s="3"/>
    </row>
    <row r="60" spans="1:16">
      <c r="A60" t="s">
        <v>53</v>
      </c>
      <c r="B60" s="4"/>
      <c r="D60" s="4"/>
      <c r="F60" s="4"/>
      <c r="H60" s="4"/>
      <c r="K60" s="4"/>
      <c r="L60" s="4"/>
      <c r="M60" s="4"/>
      <c r="N60" s="4"/>
      <c r="O60" s="4"/>
      <c r="P60" s="3"/>
    </row>
    <row r="61" spans="1:16">
      <c r="A61" t="s">
        <v>54</v>
      </c>
      <c r="B61" s="4"/>
      <c r="C61" s="4"/>
      <c r="D61" s="4"/>
      <c r="F61" s="4"/>
      <c r="G61" s="4"/>
      <c r="H61" s="4"/>
      <c r="K61" s="4"/>
      <c r="L61" s="4"/>
      <c r="M61" s="4"/>
      <c r="N61" s="4"/>
      <c r="O61" s="4"/>
      <c r="P61" s="3"/>
    </row>
    <row r="62" spans="1:16">
      <c r="A62" t="s">
        <v>55</v>
      </c>
      <c r="B62" s="4"/>
      <c r="C62" s="4"/>
      <c r="D62" s="4"/>
      <c r="F62" s="4"/>
      <c r="G62" s="4"/>
      <c r="H62" s="4"/>
      <c r="K62" s="4"/>
      <c r="L62" s="4"/>
      <c r="M62" s="4"/>
      <c r="N62" s="4"/>
      <c r="O62" s="4"/>
      <c r="P62" s="3"/>
    </row>
    <row r="63" spans="1:16">
      <c r="A63" t="s">
        <v>56</v>
      </c>
      <c r="B63" s="4"/>
      <c r="C63" s="4"/>
      <c r="D63" s="4"/>
      <c r="F63" s="4"/>
      <c r="G63" s="4"/>
      <c r="H63" s="4"/>
      <c r="K63" s="4"/>
      <c r="L63" s="4"/>
      <c r="M63" s="4"/>
      <c r="N63" s="4"/>
      <c r="O63" s="4"/>
      <c r="P63" s="3"/>
    </row>
    <row r="64" spans="1:16">
      <c r="A64" t="s">
        <v>57</v>
      </c>
      <c r="B64" s="4"/>
      <c r="C64" s="4"/>
      <c r="D64" s="4"/>
      <c r="F64" s="4"/>
      <c r="G64" s="4"/>
      <c r="H64" s="4"/>
      <c r="K64" s="4"/>
      <c r="L64" s="4"/>
      <c r="M64" s="4"/>
      <c r="N64" s="4"/>
      <c r="O64" s="4"/>
      <c r="P64" s="3"/>
    </row>
    <row r="65" spans="1:19">
      <c r="A65" t="s">
        <v>58</v>
      </c>
      <c r="B65" s="4"/>
      <c r="C65" s="4"/>
      <c r="D65" s="4"/>
      <c r="F65" s="4"/>
      <c r="G65" s="4"/>
      <c r="H65" s="4"/>
      <c r="K65" s="4"/>
      <c r="L65" s="4"/>
      <c r="M65" s="4"/>
      <c r="N65" s="4"/>
      <c r="O65" s="4"/>
      <c r="P65" s="3"/>
    </row>
    <row r="66" spans="1:19">
      <c r="A66" t="s">
        <v>59</v>
      </c>
      <c r="B66" s="4"/>
      <c r="C66" s="4"/>
      <c r="D66" s="4"/>
      <c r="F66" s="4"/>
      <c r="G66" s="4"/>
      <c r="H66" s="4"/>
      <c r="K66" s="4"/>
      <c r="L66" s="4"/>
      <c r="M66" s="4"/>
      <c r="N66" s="4"/>
      <c r="O66" s="4"/>
      <c r="P66" s="3"/>
    </row>
    <row r="67" spans="1:19">
      <c r="A67" t="s">
        <v>60</v>
      </c>
      <c r="B67" s="4"/>
      <c r="C67" s="4"/>
      <c r="D67" s="4"/>
      <c r="F67" s="4"/>
      <c r="G67" s="4"/>
      <c r="H67" s="4"/>
      <c r="K67" s="4"/>
      <c r="L67" s="4"/>
      <c r="M67" s="4"/>
      <c r="N67" s="4"/>
      <c r="O67" s="4"/>
      <c r="P67" s="3"/>
    </row>
    <row r="68" spans="1:19">
      <c r="A68" t="s">
        <v>61</v>
      </c>
      <c r="B68" s="4"/>
      <c r="C68" s="4"/>
      <c r="D68" s="4"/>
      <c r="F68" s="4"/>
      <c r="G68" s="4"/>
      <c r="H68" s="4"/>
      <c r="K68" s="4"/>
      <c r="L68" s="4"/>
      <c r="M68" s="4"/>
      <c r="N68" s="4"/>
      <c r="O68" s="4"/>
      <c r="P68" s="3"/>
    </row>
    <row r="69" spans="1:19">
      <c r="A69" t="s">
        <v>330</v>
      </c>
      <c r="B69" s="4"/>
      <c r="C69" s="4"/>
      <c r="D69" s="4"/>
      <c r="F69" s="4"/>
      <c r="G69" s="4"/>
      <c r="H69" s="4"/>
      <c r="K69" s="4"/>
      <c r="L69" s="4"/>
      <c r="M69" s="4"/>
      <c r="N69" s="4"/>
      <c r="O69" s="4"/>
      <c r="P69" s="3"/>
    </row>
    <row r="70" spans="1:19">
      <c r="A70" t="s">
        <v>331</v>
      </c>
      <c r="B70" s="4"/>
      <c r="C70" s="4"/>
      <c r="D70" s="4"/>
      <c r="F70" s="4"/>
      <c r="G70" s="4"/>
      <c r="H70" s="4"/>
      <c r="K70" s="4"/>
      <c r="L70" s="4"/>
      <c r="M70" s="4"/>
      <c r="N70" s="4"/>
      <c r="O70" s="4"/>
      <c r="P70" s="3"/>
    </row>
    <row r="71" spans="1:19">
      <c r="A71" t="s">
        <v>62</v>
      </c>
      <c r="B71" s="4"/>
      <c r="C71" s="4"/>
      <c r="D71" s="4"/>
      <c r="F71" s="4"/>
      <c r="G71" s="4"/>
      <c r="H71" s="4"/>
      <c r="K71" s="4"/>
      <c r="L71" s="4"/>
      <c r="M71" s="4"/>
      <c r="N71" s="4"/>
      <c r="O71" s="4"/>
      <c r="P71" s="3"/>
    </row>
    <row r="72" spans="1:19">
      <c r="A72" t="s">
        <v>63</v>
      </c>
      <c r="B72" s="4"/>
      <c r="C72" s="4"/>
      <c r="D72" s="4"/>
      <c r="F72" s="4"/>
      <c r="G72" s="4"/>
      <c r="H72" s="4"/>
      <c r="K72" s="4"/>
      <c r="L72" s="4"/>
      <c r="M72" s="4"/>
      <c r="N72" s="4"/>
      <c r="O72" s="4"/>
      <c r="P72" s="3"/>
    </row>
    <row r="73" spans="1:19">
      <c r="A73" t="s">
        <v>64</v>
      </c>
      <c r="B73" s="4"/>
      <c r="C73" s="4"/>
      <c r="D73" s="4"/>
      <c r="F73" s="4"/>
      <c r="G73" s="4"/>
      <c r="H73" s="4"/>
      <c r="K73" s="4"/>
      <c r="L73" s="4"/>
      <c r="M73" s="4"/>
      <c r="N73" s="4"/>
      <c r="O73" s="4"/>
      <c r="P73" s="3"/>
    </row>
    <row r="74" spans="1:19">
      <c r="A74" t="s">
        <v>65</v>
      </c>
      <c r="B74" s="4"/>
      <c r="C74" s="4"/>
      <c r="D74" s="4"/>
      <c r="F74" s="4"/>
      <c r="G74" s="4"/>
      <c r="H74" s="4"/>
      <c r="K74" s="4"/>
      <c r="L74" s="4"/>
      <c r="M74" s="4"/>
      <c r="N74" s="4"/>
      <c r="O74" s="4"/>
      <c r="P74" s="3"/>
    </row>
    <row r="75" spans="1:19">
      <c r="A75" t="s">
        <v>66</v>
      </c>
      <c r="B75" s="4"/>
      <c r="C75" s="4"/>
      <c r="D75" s="4"/>
      <c r="F75" s="4"/>
      <c r="G75" s="4"/>
      <c r="H75" s="4"/>
      <c r="K75" s="4"/>
      <c r="L75" s="4"/>
      <c r="M75" s="4"/>
      <c r="N75" s="4"/>
      <c r="O75" s="4"/>
      <c r="P75" s="3"/>
    </row>
    <row r="76" spans="1:19">
      <c r="A76" t="s">
        <v>67</v>
      </c>
      <c r="B76" s="4"/>
      <c r="C76" s="4"/>
      <c r="D76" s="4"/>
      <c r="F76" s="4"/>
      <c r="G76" s="4"/>
      <c r="H76" s="4"/>
      <c r="K76" s="4"/>
      <c r="L76" s="4"/>
      <c r="M76" s="4"/>
      <c r="N76" s="4"/>
      <c r="O76" s="4"/>
      <c r="P76" s="3"/>
    </row>
    <row r="77" spans="1:19">
      <c r="A77" t="s">
        <v>68</v>
      </c>
      <c r="B77" s="4"/>
      <c r="C77" s="4"/>
      <c r="D77" s="4"/>
      <c r="F77" s="4"/>
      <c r="G77" s="4"/>
      <c r="H77" s="4"/>
      <c r="K77" s="4"/>
      <c r="L77" s="4"/>
      <c r="M77" s="4"/>
      <c r="N77" s="4"/>
      <c r="O77" s="4"/>
      <c r="P77" s="3"/>
      <c r="R77" s="110"/>
      <c r="S77" s="4"/>
    </row>
    <row r="78" spans="1:19">
      <c r="A78" t="s">
        <v>69</v>
      </c>
      <c r="B78" s="4"/>
      <c r="C78" s="4"/>
      <c r="D78" s="4"/>
      <c r="F78" s="4"/>
      <c r="G78" s="4"/>
      <c r="H78" s="4"/>
      <c r="K78" s="4"/>
      <c r="L78" s="4"/>
      <c r="M78" s="4"/>
      <c r="N78" s="4"/>
      <c r="O78" s="4"/>
      <c r="P78" s="3"/>
      <c r="S78" s="225" t="s">
        <v>276</v>
      </c>
    </row>
    <row r="79" spans="1:19">
      <c r="A79" t="s">
        <v>70</v>
      </c>
      <c r="B79" s="4"/>
      <c r="C79" s="4"/>
      <c r="D79" s="4"/>
      <c r="F79" s="4"/>
      <c r="G79" s="4"/>
      <c r="H79" s="4"/>
      <c r="K79" s="4"/>
      <c r="L79" s="4"/>
      <c r="M79" s="4"/>
      <c r="N79" s="4"/>
      <c r="O79" s="4"/>
      <c r="P79" s="3"/>
    </row>
    <row r="80" spans="1:19">
      <c r="A80" t="s">
        <v>71</v>
      </c>
      <c r="B80" s="4"/>
      <c r="C80" s="4"/>
      <c r="D80" s="4"/>
      <c r="F80" s="4"/>
      <c r="G80" s="4"/>
      <c r="H80" s="4"/>
      <c r="K80" s="4"/>
      <c r="L80" s="4"/>
      <c r="M80" s="4"/>
      <c r="N80" s="4"/>
      <c r="O80" s="4"/>
      <c r="P80" s="3"/>
    </row>
    <row r="81" spans="1:16">
      <c r="A81" t="s">
        <v>72</v>
      </c>
      <c r="B81" s="4"/>
      <c r="C81" s="4"/>
      <c r="D81" s="4"/>
      <c r="F81" s="4"/>
      <c r="G81" s="4"/>
      <c r="H81" s="4"/>
      <c r="K81" s="4"/>
      <c r="L81" s="4"/>
      <c r="M81" s="4"/>
      <c r="N81" s="4"/>
      <c r="O81" s="4"/>
      <c r="P81" s="3"/>
    </row>
    <row r="82" spans="1:16" s="132" customFormat="1">
      <c r="A82" s="132" t="s">
        <v>2</v>
      </c>
      <c r="B82" s="133">
        <f>SUM(B4:B81)</f>
        <v>0</v>
      </c>
      <c r="C82" s="133">
        <f>SUM(C4:C81)</f>
        <v>0</v>
      </c>
      <c r="D82" s="133">
        <f>SUM(D4:D81)</f>
        <v>0</v>
      </c>
      <c r="F82" s="133">
        <f>SUM(F4:F81)</f>
        <v>0</v>
      </c>
      <c r="G82" s="133">
        <f>SUM(G4:G81)</f>
        <v>0</v>
      </c>
      <c r="H82" s="133">
        <f>SUM(H4:H81)</f>
        <v>0</v>
      </c>
      <c r="K82" s="133">
        <f>SUM(K4:K81)</f>
        <v>0</v>
      </c>
      <c r="L82" s="133">
        <f>SUM(L4:L81)</f>
        <v>0</v>
      </c>
      <c r="M82" s="133">
        <f>SUM(M4:M81)</f>
        <v>0</v>
      </c>
      <c r="N82" s="133">
        <f>SUM(N4:N81)</f>
        <v>0</v>
      </c>
      <c r="O82" s="4"/>
      <c r="P82" s="133">
        <f>SUM(P4:P81)</f>
        <v>0</v>
      </c>
    </row>
    <row r="83" spans="1:16" s="135" customFormat="1" ht="18" customHeight="1">
      <c r="A83" s="136" t="s">
        <v>310</v>
      </c>
      <c r="B83" s="247">
        <v>0</v>
      </c>
      <c r="C83" s="134">
        <v>0</v>
      </c>
      <c r="D83" s="134">
        <f>B83-C83</f>
        <v>0</v>
      </c>
      <c r="F83" s="247">
        <v>0</v>
      </c>
      <c r="G83" s="134">
        <v>0</v>
      </c>
      <c r="H83" s="134">
        <v>0</v>
      </c>
      <c r="K83" s="247">
        <v>0</v>
      </c>
      <c r="L83" s="247">
        <v>0</v>
      </c>
      <c r="M83" s="134">
        <v>0</v>
      </c>
      <c r="N83" s="134">
        <v>0</v>
      </c>
      <c r="O83" s="4"/>
      <c r="P83" s="134">
        <v>0</v>
      </c>
    </row>
    <row r="84" spans="1:16">
      <c r="A84" s="84" t="s">
        <v>369</v>
      </c>
      <c r="B84" s="86">
        <f>B82-B83</f>
        <v>0</v>
      </c>
      <c r="C84" s="86">
        <f t="shared" ref="C84:D84" si="0">C82-C83</f>
        <v>0</v>
      </c>
      <c r="D84" s="86">
        <f t="shared" si="0"/>
        <v>0</v>
      </c>
      <c r="F84" s="86">
        <f>F82-F83</f>
        <v>0</v>
      </c>
      <c r="G84" s="86">
        <f t="shared" ref="G84:H84" si="1">G82-G83</f>
        <v>0</v>
      </c>
      <c r="H84" s="86">
        <f t="shared" si="1"/>
        <v>0</v>
      </c>
      <c r="K84" s="86">
        <f>K82-K83</f>
        <v>0</v>
      </c>
      <c r="L84" s="86">
        <f>L82-L83</f>
        <v>0</v>
      </c>
      <c r="M84" s="86">
        <f t="shared" ref="M84:P84" si="2">M82-M83</f>
        <v>0</v>
      </c>
      <c r="N84" s="86">
        <f t="shared" si="2"/>
        <v>0</v>
      </c>
      <c r="O84" s="4"/>
      <c r="P84" s="86">
        <f t="shared" si="2"/>
        <v>0</v>
      </c>
    </row>
    <row r="85" spans="1:16">
      <c r="O85" s="4"/>
    </row>
    <row r="86" spans="1:16">
      <c r="O86" s="4"/>
    </row>
    <row r="87" spans="1:16">
      <c r="B87" s="110"/>
      <c r="C87" s="110"/>
      <c r="D87" s="4"/>
      <c r="F87" s="110"/>
      <c r="G87" s="110"/>
      <c r="H87" s="4"/>
      <c r="K87" s="110"/>
      <c r="L87" s="110"/>
      <c r="M87" s="110"/>
      <c r="N87" s="110"/>
      <c r="O87" s="110"/>
      <c r="P87" s="4"/>
    </row>
    <row r="90" spans="1:16">
      <c r="C90" s="110"/>
      <c r="D90" s="4"/>
      <c r="G90" s="110"/>
      <c r="H90" s="4"/>
      <c r="M90" s="110"/>
      <c r="N90" s="110"/>
      <c r="O90" s="110"/>
      <c r="P90" s="4"/>
    </row>
  </sheetData>
  <mergeCells count="4">
    <mergeCell ref="B1:D1"/>
    <mergeCell ref="K1:P1"/>
    <mergeCell ref="F1:H1"/>
    <mergeCell ref="B2:D2"/>
  </mergeCells>
  <conditionalFormatting sqref="B84:D84">
    <cfRule type="expression" dxfId="4" priority="5">
      <formula>B$84=0</formula>
    </cfRule>
  </conditionalFormatting>
  <conditionalFormatting sqref="A84">
    <cfRule type="expression" dxfId="3" priority="4">
      <formula>SUM($B$84:$Z$84)=0</formula>
    </cfRule>
  </conditionalFormatting>
  <conditionalFormatting sqref="P84">
    <cfRule type="expression" dxfId="2" priority="3">
      <formula>P$84=0</formula>
    </cfRule>
  </conditionalFormatting>
  <conditionalFormatting sqref="F84:H84">
    <cfRule type="expression" dxfId="1" priority="2">
      <formula>F$84=0</formula>
    </cfRule>
  </conditionalFormatting>
  <conditionalFormatting sqref="K84:N84">
    <cfRule type="expression" dxfId="0" priority="1">
      <formula>K$84=0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55" zoomScale="85" zoomScaleNormal="85" workbookViewId="0">
      <selection activeCell="B82" sqref="B82"/>
    </sheetView>
  </sheetViews>
  <sheetFormatPr defaultColWidth="9.140625" defaultRowHeight="15"/>
  <cols>
    <col min="1" max="1" width="27.28515625" style="168" bestFit="1" customWidth="1"/>
    <col min="2" max="2" width="18.5703125" style="170" customWidth="1"/>
    <col min="3" max="3" width="18" style="168" customWidth="1"/>
    <col min="4" max="4" width="17.7109375" style="168" bestFit="1" customWidth="1"/>
    <col min="5" max="5" width="17.42578125" style="168" customWidth="1"/>
    <col min="6" max="6" width="20.85546875" style="171" customWidth="1"/>
    <col min="7" max="16384" width="9.140625" style="168"/>
  </cols>
  <sheetData>
    <row r="1" spans="1:6">
      <c r="A1" s="457">
        <f ca="1">ICMS!B1</f>
        <v>45348</v>
      </c>
      <c r="B1" s="457"/>
      <c r="C1" s="457"/>
      <c r="D1" s="457"/>
      <c r="E1" s="457"/>
      <c r="F1" s="457"/>
    </row>
    <row r="2" spans="1:6" ht="28.5" customHeight="1">
      <c r="A2" s="188" t="s">
        <v>333</v>
      </c>
      <c r="B2" s="458" t="s">
        <v>83</v>
      </c>
      <c r="C2" s="459"/>
      <c r="D2" s="458" t="s">
        <v>336</v>
      </c>
      <c r="E2" s="459"/>
      <c r="F2" s="455" t="s">
        <v>3</v>
      </c>
    </row>
    <row r="3" spans="1:6" ht="15.75" customHeight="1">
      <c r="A3" s="188"/>
      <c r="B3" s="189" t="s">
        <v>334</v>
      </c>
      <c r="C3" s="190" t="s">
        <v>335</v>
      </c>
      <c r="D3" s="189" t="s">
        <v>334</v>
      </c>
      <c r="E3" s="191" t="s">
        <v>335</v>
      </c>
      <c r="F3" s="456"/>
    </row>
    <row r="4" spans="1:6">
      <c r="A4" s="169" t="s">
        <v>4</v>
      </c>
      <c r="B4" s="170">
        <v>80.795370000000005</v>
      </c>
      <c r="C4" s="170">
        <v>323.18132780000002</v>
      </c>
      <c r="D4" s="170"/>
      <c r="E4" s="322"/>
      <c r="F4" s="172">
        <f>SUM(B4:E4)</f>
        <v>403.97669780000001</v>
      </c>
    </row>
    <row r="5" spans="1:6">
      <c r="A5" s="169" t="s">
        <v>337</v>
      </c>
      <c r="B5" s="170">
        <v>30.683129999999998</v>
      </c>
      <c r="C5" s="170">
        <v>122.7324622</v>
      </c>
      <c r="D5" s="170"/>
      <c r="E5" s="322"/>
      <c r="F5" s="172">
        <f t="shared" ref="F5:F35" si="0">SUM(B5:E5)</f>
        <v>153.41559219999999</v>
      </c>
    </row>
    <row r="6" spans="1:6">
      <c r="A6" s="169" t="s">
        <v>338</v>
      </c>
      <c r="B6" s="170">
        <v>42.892679999999999</v>
      </c>
      <c r="C6" s="170">
        <v>171.57063920000002</v>
      </c>
      <c r="D6" s="170">
        <v>60.02</v>
      </c>
      <c r="E6" s="322">
        <v>240.09</v>
      </c>
      <c r="F6" s="172">
        <f t="shared" si="0"/>
        <v>514.57331920000001</v>
      </c>
    </row>
    <row r="7" spans="1:6">
      <c r="A7" s="169" t="s">
        <v>7</v>
      </c>
      <c r="B7" s="170">
        <v>52.872660000000003</v>
      </c>
      <c r="C7" s="170">
        <v>211.49054040000001</v>
      </c>
      <c r="D7" s="170"/>
      <c r="E7" s="322"/>
      <c r="F7" s="172">
        <f t="shared" si="0"/>
        <v>264.36320040000004</v>
      </c>
    </row>
    <row r="8" spans="1:6">
      <c r="A8" s="169" t="s">
        <v>8</v>
      </c>
      <c r="B8" s="170">
        <v>49.581390000000006</v>
      </c>
      <c r="C8" s="170">
        <v>198.32546660000003</v>
      </c>
      <c r="D8" s="170"/>
      <c r="E8" s="322"/>
      <c r="F8" s="172">
        <f t="shared" si="0"/>
        <v>247.90685660000003</v>
      </c>
    </row>
    <row r="9" spans="1:6">
      <c r="A9" s="169" t="s">
        <v>9</v>
      </c>
      <c r="B9" s="170">
        <v>23.994419999999998</v>
      </c>
      <c r="C9" s="170">
        <v>95.977634800000004</v>
      </c>
      <c r="D9" s="170"/>
      <c r="E9" s="322"/>
      <c r="F9" s="172">
        <f t="shared" si="0"/>
        <v>119.9720548</v>
      </c>
    </row>
    <row r="10" spans="1:6">
      <c r="A10" s="169" t="s">
        <v>10</v>
      </c>
      <c r="B10" s="170">
        <v>334.22316000000001</v>
      </c>
      <c r="C10" s="170">
        <v>1336.8920104000001</v>
      </c>
      <c r="D10" s="170"/>
      <c r="E10" s="322"/>
      <c r="F10" s="172">
        <f t="shared" si="0"/>
        <v>1671.1151704000001</v>
      </c>
    </row>
    <row r="11" spans="1:6">
      <c r="A11" s="169" t="s">
        <v>339</v>
      </c>
      <c r="B11" s="170">
        <v>19.641450000000003</v>
      </c>
      <c r="C11" s="170">
        <v>78.565763000000004</v>
      </c>
      <c r="D11" s="170"/>
      <c r="E11" s="322"/>
      <c r="F11" s="172">
        <f t="shared" si="0"/>
        <v>98.20721300000001</v>
      </c>
    </row>
    <row r="12" spans="1:6">
      <c r="A12" s="169" t="s">
        <v>12</v>
      </c>
      <c r="B12" s="170">
        <v>310.22874000000002</v>
      </c>
      <c r="C12" s="170">
        <v>1240.9143756000003</v>
      </c>
      <c r="D12" s="170">
        <v>62.74</v>
      </c>
      <c r="E12" s="322">
        <v>250.96</v>
      </c>
      <c r="F12" s="172">
        <f t="shared" si="0"/>
        <v>1864.8431156000004</v>
      </c>
    </row>
    <row r="13" spans="1:6">
      <c r="A13" s="169" t="s">
        <v>340</v>
      </c>
      <c r="B13" s="170">
        <v>37.584179999999996</v>
      </c>
      <c r="C13" s="170">
        <v>150.33664920000001</v>
      </c>
      <c r="D13" s="170"/>
      <c r="E13" s="322"/>
      <c r="F13" s="172">
        <f t="shared" si="0"/>
        <v>187.92082920000001</v>
      </c>
    </row>
    <row r="14" spans="1:6">
      <c r="A14" s="169" t="s">
        <v>341</v>
      </c>
      <c r="B14" s="170">
        <v>64.445189999999997</v>
      </c>
      <c r="C14" s="170">
        <v>257.78063860000003</v>
      </c>
      <c r="D14" s="170"/>
      <c r="E14" s="322"/>
      <c r="F14" s="172">
        <f t="shared" si="0"/>
        <v>322.2258286</v>
      </c>
    </row>
    <row r="15" spans="1:6">
      <c r="A15" s="169" t="s">
        <v>342</v>
      </c>
      <c r="B15" s="170">
        <v>109.24892999999999</v>
      </c>
      <c r="C15" s="170">
        <v>436.9955142</v>
      </c>
      <c r="D15" s="170"/>
      <c r="E15" s="322"/>
      <c r="F15" s="172">
        <f t="shared" si="0"/>
        <v>546.24444419999998</v>
      </c>
    </row>
    <row r="16" spans="1:6">
      <c r="A16" s="169" t="s">
        <v>343</v>
      </c>
      <c r="B16" s="170">
        <v>41.937150000000003</v>
      </c>
      <c r="C16" s="170">
        <v>167.74852100000004</v>
      </c>
      <c r="D16" s="170"/>
      <c r="E16" s="322"/>
      <c r="F16" s="172">
        <f t="shared" si="0"/>
        <v>209.68567100000004</v>
      </c>
    </row>
    <row r="17" spans="1:6">
      <c r="A17" s="169" t="s">
        <v>16</v>
      </c>
      <c r="B17" s="170">
        <v>18.685919999999999</v>
      </c>
      <c r="C17" s="170">
        <v>74.743644799999998</v>
      </c>
      <c r="D17" s="170"/>
      <c r="E17" s="322"/>
      <c r="F17" s="172">
        <f t="shared" si="0"/>
        <v>93.429564799999994</v>
      </c>
    </row>
    <row r="18" spans="1:6">
      <c r="A18" s="169" t="s">
        <v>17</v>
      </c>
      <c r="B18" s="170">
        <v>44.697569999999999</v>
      </c>
      <c r="C18" s="170">
        <v>178.79019580000002</v>
      </c>
      <c r="D18" s="170">
        <v>65.489999999999995</v>
      </c>
      <c r="E18" s="322">
        <v>261.99</v>
      </c>
      <c r="F18" s="172">
        <f t="shared" si="0"/>
        <v>550.96776580000005</v>
      </c>
    </row>
    <row r="19" spans="1:6">
      <c r="A19" s="169" t="s">
        <v>344</v>
      </c>
      <c r="B19" s="170">
        <v>330.40104000000002</v>
      </c>
      <c r="C19" s="170">
        <v>1321.6035376000002</v>
      </c>
      <c r="D19" s="170"/>
      <c r="E19" s="322"/>
      <c r="F19" s="172">
        <f t="shared" si="0"/>
        <v>1652.0045776000002</v>
      </c>
    </row>
    <row r="20" spans="1:6">
      <c r="A20" s="169" t="s">
        <v>19</v>
      </c>
      <c r="B20" s="170">
        <v>774.93483000000003</v>
      </c>
      <c r="C20" s="170">
        <v>3099.7378602000003</v>
      </c>
      <c r="D20" s="170">
        <v>100.22</v>
      </c>
      <c r="E20" s="322">
        <v>400.87</v>
      </c>
      <c r="F20" s="172">
        <f t="shared" si="0"/>
        <v>4375.7626902000002</v>
      </c>
    </row>
    <row r="21" spans="1:6">
      <c r="A21" s="169" t="s">
        <v>20</v>
      </c>
      <c r="B21" s="170">
        <v>95.446829999999991</v>
      </c>
      <c r="C21" s="170">
        <v>381.78714020000001</v>
      </c>
      <c r="D21" s="170"/>
      <c r="E21" s="322"/>
      <c r="F21" s="172">
        <f t="shared" si="0"/>
        <v>477.23397019999999</v>
      </c>
    </row>
    <row r="22" spans="1:6">
      <c r="A22" s="169" t="s">
        <v>21</v>
      </c>
      <c r="B22" s="170">
        <v>236.97144000000003</v>
      </c>
      <c r="C22" s="170">
        <v>947.88531360000025</v>
      </c>
      <c r="D22" s="170"/>
      <c r="E22" s="322"/>
      <c r="F22" s="172">
        <f t="shared" si="0"/>
        <v>1184.8567536000003</v>
      </c>
    </row>
    <row r="23" spans="1:6">
      <c r="A23" s="169" t="s">
        <v>345</v>
      </c>
      <c r="B23" s="170">
        <v>84.298980000000014</v>
      </c>
      <c r="C23" s="170">
        <v>337.19576120000005</v>
      </c>
      <c r="D23" s="170"/>
      <c r="E23" s="322"/>
      <c r="F23" s="172">
        <f t="shared" si="0"/>
        <v>421.49474120000008</v>
      </c>
    </row>
    <row r="24" spans="1:6">
      <c r="A24" s="169" t="s">
        <v>346</v>
      </c>
      <c r="B24" s="170">
        <v>48.838200000000001</v>
      </c>
      <c r="C24" s="170">
        <v>195.35270800000001</v>
      </c>
      <c r="D24" s="170"/>
      <c r="E24" s="322"/>
      <c r="F24" s="172">
        <f t="shared" si="0"/>
        <v>244.19090800000001</v>
      </c>
    </row>
    <row r="25" spans="1:6">
      <c r="A25" s="169" t="s">
        <v>347</v>
      </c>
      <c r="B25" s="170">
        <v>19.322939999999999</v>
      </c>
      <c r="C25" s="170">
        <v>77.291723600000012</v>
      </c>
      <c r="D25" s="170"/>
      <c r="E25" s="322"/>
      <c r="F25" s="172">
        <f t="shared" si="0"/>
        <v>96.614663600000014</v>
      </c>
    </row>
    <row r="26" spans="1:6">
      <c r="A26" s="169" t="s">
        <v>22</v>
      </c>
      <c r="B26" s="170">
        <v>134.62356</v>
      </c>
      <c r="C26" s="170">
        <v>538.49398640000004</v>
      </c>
      <c r="D26" s="170">
        <v>9.74</v>
      </c>
      <c r="E26" s="322">
        <v>38.940000000000005</v>
      </c>
      <c r="F26" s="172">
        <f t="shared" si="0"/>
        <v>721.7975464000001</v>
      </c>
    </row>
    <row r="27" spans="1:6">
      <c r="A27" s="169" t="s">
        <v>23</v>
      </c>
      <c r="B27" s="170">
        <v>28.665900000000001</v>
      </c>
      <c r="C27" s="170">
        <v>114.66354600000001</v>
      </c>
      <c r="D27" s="170"/>
      <c r="E27" s="322"/>
      <c r="F27" s="172">
        <f t="shared" si="0"/>
        <v>143.32944600000002</v>
      </c>
    </row>
    <row r="28" spans="1:6">
      <c r="A28" s="169" t="s">
        <v>24</v>
      </c>
      <c r="B28" s="170">
        <v>73.681979999999996</v>
      </c>
      <c r="C28" s="170">
        <v>294.72778119999998</v>
      </c>
      <c r="D28" s="170">
        <v>40.010000000000005</v>
      </c>
      <c r="E28" s="322">
        <v>160.07</v>
      </c>
      <c r="F28" s="172">
        <f t="shared" si="0"/>
        <v>568.48976119999998</v>
      </c>
    </row>
    <row r="29" spans="1:6">
      <c r="A29" s="169" t="s">
        <v>348</v>
      </c>
      <c r="B29" s="170">
        <v>30.364619999999995</v>
      </c>
      <c r="C29" s="170">
        <v>121.45842279999999</v>
      </c>
      <c r="D29" s="170"/>
      <c r="E29" s="322"/>
      <c r="F29" s="172">
        <f t="shared" si="0"/>
        <v>151.8230428</v>
      </c>
    </row>
    <row r="30" spans="1:6">
      <c r="A30" s="169" t="s">
        <v>26</v>
      </c>
      <c r="B30" s="170">
        <v>46.502459999999999</v>
      </c>
      <c r="C30" s="170">
        <v>186.00975240000002</v>
      </c>
      <c r="D30" s="170"/>
      <c r="E30" s="322"/>
      <c r="F30" s="172">
        <f t="shared" si="0"/>
        <v>232.51221240000001</v>
      </c>
    </row>
    <row r="31" spans="1:6">
      <c r="A31" s="169" t="s">
        <v>349</v>
      </c>
      <c r="B31" s="170">
        <v>38.115029999999997</v>
      </c>
      <c r="C31" s="170">
        <v>152.46004820000002</v>
      </c>
      <c r="D31" s="170">
        <v>96.44</v>
      </c>
      <c r="E31" s="322">
        <v>385.78</v>
      </c>
      <c r="F31" s="172">
        <f t="shared" si="0"/>
        <v>672.79507820000003</v>
      </c>
    </row>
    <row r="32" spans="1:6">
      <c r="A32" s="169" t="s">
        <v>27</v>
      </c>
      <c r="B32" s="170">
        <v>86.210040000000006</v>
      </c>
      <c r="C32" s="170">
        <v>344.83999760000006</v>
      </c>
      <c r="D32" s="170"/>
      <c r="E32" s="322"/>
      <c r="F32" s="172">
        <f t="shared" si="0"/>
        <v>431.05003760000005</v>
      </c>
    </row>
    <row r="33" spans="1:6">
      <c r="A33" s="169" t="s">
        <v>28</v>
      </c>
      <c r="B33" s="170">
        <v>39.495239999999995</v>
      </c>
      <c r="C33" s="170">
        <v>157.98088559999999</v>
      </c>
      <c r="D33" s="170"/>
      <c r="E33" s="322"/>
      <c r="F33" s="172">
        <f t="shared" si="0"/>
        <v>197.47612559999999</v>
      </c>
    </row>
    <row r="34" spans="1:6">
      <c r="A34" s="169" t="s">
        <v>350</v>
      </c>
      <c r="B34" s="170">
        <v>24.525269999999999</v>
      </c>
      <c r="C34" s="170">
        <v>98.10103380000001</v>
      </c>
      <c r="D34" s="170"/>
      <c r="E34" s="322"/>
      <c r="F34" s="172">
        <f t="shared" si="0"/>
        <v>122.62630380000002</v>
      </c>
    </row>
    <row r="35" spans="1:6">
      <c r="A35" s="169" t="s">
        <v>29</v>
      </c>
      <c r="B35" s="170">
        <v>25.799309999999998</v>
      </c>
      <c r="C35" s="170">
        <v>103.19719140000001</v>
      </c>
      <c r="D35" s="170"/>
      <c r="E35" s="322"/>
      <c r="F35" s="172">
        <f t="shared" si="0"/>
        <v>128.9965014</v>
      </c>
    </row>
    <row r="36" spans="1:6">
      <c r="A36" s="169" t="s">
        <v>30</v>
      </c>
      <c r="B36" s="170">
        <v>33.443550000000002</v>
      </c>
      <c r="C36" s="170">
        <v>133.77413700000002</v>
      </c>
      <c r="D36" s="170"/>
      <c r="E36" s="322"/>
      <c r="F36" s="172">
        <f t="shared" ref="F36:F67" si="1">SUM(B36:E36)</f>
        <v>167.21768700000001</v>
      </c>
    </row>
    <row r="37" spans="1:6">
      <c r="A37" s="169" t="s">
        <v>31</v>
      </c>
      <c r="B37" s="170">
        <v>31.74483</v>
      </c>
      <c r="C37" s="170">
        <v>126.97926020000001</v>
      </c>
      <c r="D37" s="170"/>
      <c r="E37" s="322"/>
      <c r="F37" s="172">
        <f t="shared" si="1"/>
        <v>158.72409020000001</v>
      </c>
    </row>
    <row r="38" spans="1:6">
      <c r="A38" s="169" t="s">
        <v>351</v>
      </c>
      <c r="B38" s="170">
        <v>33.868230000000004</v>
      </c>
      <c r="C38" s="170">
        <v>135.47285620000002</v>
      </c>
      <c r="D38" s="170"/>
      <c r="E38" s="322"/>
      <c r="F38" s="172">
        <f t="shared" si="1"/>
        <v>169.34108620000003</v>
      </c>
    </row>
    <row r="39" spans="1:6">
      <c r="A39" s="169" t="s">
        <v>32</v>
      </c>
      <c r="B39" s="170">
        <v>260.64735000000002</v>
      </c>
      <c r="C39" s="170">
        <v>1042.5889090000003</v>
      </c>
      <c r="D39" s="170"/>
      <c r="E39" s="322"/>
      <c r="F39" s="172">
        <f t="shared" si="1"/>
        <v>1303.2362590000002</v>
      </c>
    </row>
    <row r="40" spans="1:6">
      <c r="A40" s="169" t="s">
        <v>33</v>
      </c>
      <c r="B40" s="170">
        <v>36.947159999999997</v>
      </c>
      <c r="C40" s="170">
        <v>147.7885704</v>
      </c>
      <c r="D40" s="170"/>
      <c r="E40" s="322"/>
      <c r="F40" s="172">
        <f t="shared" si="1"/>
        <v>184.73573039999999</v>
      </c>
    </row>
    <row r="41" spans="1:6">
      <c r="A41" s="169" t="s">
        <v>34</v>
      </c>
      <c r="B41" s="170">
        <v>52.660319999999999</v>
      </c>
      <c r="C41" s="170">
        <v>210.64118080000003</v>
      </c>
      <c r="D41" s="170"/>
      <c r="E41" s="322"/>
      <c r="F41" s="172">
        <f t="shared" si="1"/>
        <v>263.30150080000004</v>
      </c>
    </row>
    <row r="42" spans="1:6">
      <c r="A42" s="169" t="s">
        <v>352</v>
      </c>
      <c r="B42" s="170">
        <v>92.474070000000012</v>
      </c>
      <c r="C42" s="170">
        <v>369.89610580000004</v>
      </c>
      <c r="D42" s="170"/>
      <c r="E42" s="322"/>
      <c r="F42" s="172">
        <f t="shared" si="1"/>
        <v>462.37017580000008</v>
      </c>
    </row>
    <row r="43" spans="1:6">
      <c r="A43" s="169" t="s">
        <v>36</v>
      </c>
      <c r="B43" s="170">
        <v>22.2957</v>
      </c>
      <c r="C43" s="170">
        <v>89.182758000000007</v>
      </c>
      <c r="D43" s="170"/>
      <c r="E43" s="322"/>
      <c r="F43" s="172">
        <f t="shared" si="1"/>
        <v>111.478458</v>
      </c>
    </row>
    <row r="44" spans="1:6">
      <c r="A44" s="169" t="s">
        <v>353</v>
      </c>
      <c r="B44" s="170">
        <v>38.433540000000001</v>
      </c>
      <c r="C44" s="170">
        <v>153.73408760000001</v>
      </c>
      <c r="D44" s="170"/>
      <c r="E44" s="322"/>
      <c r="F44" s="172">
        <f t="shared" si="1"/>
        <v>192.1676276</v>
      </c>
    </row>
    <row r="45" spans="1:6">
      <c r="A45" s="169" t="s">
        <v>38</v>
      </c>
      <c r="B45" s="170">
        <v>39.601410000000001</v>
      </c>
      <c r="C45" s="170">
        <v>158.4055654</v>
      </c>
      <c r="D45" s="170"/>
      <c r="E45" s="322"/>
      <c r="F45" s="172">
        <f t="shared" si="1"/>
        <v>198.00697539999999</v>
      </c>
    </row>
    <row r="46" spans="1:6">
      <c r="A46" s="169" t="s">
        <v>39</v>
      </c>
      <c r="B46" s="170">
        <v>528.62043000000006</v>
      </c>
      <c r="C46" s="170">
        <v>2114.4807242000002</v>
      </c>
      <c r="D46" s="170">
        <v>347.66</v>
      </c>
      <c r="E46" s="322">
        <v>1390.61</v>
      </c>
      <c r="F46" s="172">
        <f t="shared" si="1"/>
        <v>4381.3711542000001</v>
      </c>
    </row>
    <row r="47" spans="1:6">
      <c r="A47" s="169" t="s">
        <v>354</v>
      </c>
      <c r="B47" s="170">
        <v>29.302920000000004</v>
      </c>
      <c r="C47" s="170">
        <v>117.21162480000002</v>
      </c>
      <c r="D47" s="170"/>
      <c r="E47" s="322"/>
      <c r="F47" s="172">
        <f t="shared" si="1"/>
        <v>146.51454480000004</v>
      </c>
    </row>
    <row r="48" spans="1:6">
      <c r="A48" s="169" t="s">
        <v>41</v>
      </c>
      <c r="B48" s="170">
        <v>69.859859999999998</v>
      </c>
      <c r="C48" s="170">
        <v>279.43930840000002</v>
      </c>
      <c r="D48" s="170"/>
      <c r="E48" s="322"/>
      <c r="F48" s="172">
        <f t="shared" si="1"/>
        <v>349.29916839999999</v>
      </c>
    </row>
    <row r="49" spans="1:6">
      <c r="A49" s="169" t="s">
        <v>42</v>
      </c>
      <c r="B49" s="170">
        <v>64.869870000000006</v>
      </c>
      <c r="C49" s="170">
        <v>259.4793578</v>
      </c>
      <c r="D49" s="170"/>
      <c r="E49" s="322"/>
      <c r="F49" s="172">
        <f t="shared" si="1"/>
        <v>324.34922779999999</v>
      </c>
    </row>
    <row r="50" spans="1:6">
      <c r="A50" s="169" t="s">
        <v>355</v>
      </c>
      <c r="B50" s="170">
        <v>46.290120000000002</v>
      </c>
      <c r="C50" s="170">
        <v>185.16039280000001</v>
      </c>
      <c r="D50" s="170"/>
      <c r="E50" s="322"/>
      <c r="F50" s="172">
        <f t="shared" si="1"/>
        <v>231.45051280000001</v>
      </c>
    </row>
    <row r="51" spans="1:6">
      <c r="A51" s="169" t="s">
        <v>44</v>
      </c>
      <c r="B51" s="170">
        <v>52.554149999999993</v>
      </c>
      <c r="C51" s="170">
        <v>210.21650099999999</v>
      </c>
      <c r="D51" s="170"/>
      <c r="E51" s="322"/>
      <c r="F51" s="172">
        <f t="shared" si="1"/>
        <v>262.77065099999999</v>
      </c>
    </row>
    <row r="52" spans="1:6">
      <c r="A52" s="169" t="s">
        <v>45</v>
      </c>
      <c r="B52" s="170">
        <v>55.314570000000003</v>
      </c>
      <c r="C52" s="170">
        <v>221.25817580000003</v>
      </c>
      <c r="D52" s="170"/>
      <c r="E52" s="322"/>
      <c r="F52" s="172">
        <f t="shared" si="1"/>
        <v>276.57274580000001</v>
      </c>
    </row>
    <row r="53" spans="1:6">
      <c r="A53" s="169" t="s">
        <v>46</v>
      </c>
      <c r="B53" s="170">
        <v>30.046109999999995</v>
      </c>
      <c r="C53" s="170">
        <v>120.18438339999999</v>
      </c>
      <c r="D53" s="170"/>
      <c r="E53" s="322"/>
      <c r="F53" s="172">
        <f t="shared" si="1"/>
        <v>150.23049339999997</v>
      </c>
    </row>
    <row r="54" spans="1:6">
      <c r="A54" s="169" t="s">
        <v>47</v>
      </c>
      <c r="B54" s="170">
        <v>57.968820000000008</v>
      </c>
      <c r="C54" s="170">
        <v>231.87517080000003</v>
      </c>
      <c r="D54" s="170"/>
      <c r="E54" s="322"/>
      <c r="F54" s="172">
        <f t="shared" si="1"/>
        <v>289.84399080000003</v>
      </c>
    </row>
    <row r="55" spans="1:6">
      <c r="A55" s="169" t="s">
        <v>48</v>
      </c>
      <c r="B55" s="170">
        <v>29.833770000000005</v>
      </c>
      <c r="C55" s="170">
        <v>119.33502380000003</v>
      </c>
      <c r="D55" s="170"/>
      <c r="E55" s="322"/>
      <c r="F55" s="172">
        <f t="shared" si="1"/>
        <v>149.16879380000003</v>
      </c>
    </row>
    <row r="56" spans="1:6">
      <c r="A56" s="169" t="s">
        <v>356</v>
      </c>
      <c r="B56" s="170">
        <v>139.18887000000001</v>
      </c>
      <c r="C56" s="170">
        <v>556.75521780000008</v>
      </c>
      <c r="D56" s="170"/>
      <c r="E56" s="322"/>
      <c r="F56" s="172">
        <f t="shared" si="1"/>
        <v>695.94408780000003</v>
      </c>
    </row>
    <row r="57" spans="1:6">
      <c r="A57" s="169" t="s">
        <v>50</v>
      </c>
      <c r="B57" s="170">
        <v>46.290120000000002</v>
      </c>
      <c r="C57" s="170">
        <v>185.16039280000001</v>
      </c>
      <c r="D57" s="170"/>
      <c r="E57" s="322"/>
      <c r="F57" s="172">
        <f t="shared" si="1"/>
        <v>231.45051280000001</v>
      </c>
    </row>
    <row r="58" spans="1:6">
      <c r="A58" s="169" t="s">
        <v>357</v>
      </c>
      <c r="B58" s="170">
        <v>32.594189999999998</v>
      </c>
      <c r="C58" s="170">
        <v>130.3766986</v>
      </c>
      <c r="D58" s="170"/>
      <c r="E58" s="322"/>
      <c r="F58" s="172">
        <f t="shared" si="1"/>
        <v>162.97088859999999</v>
      </c>
    </row>
    <row r="59" spans="1:6">
      <c r="A59" s="169" t="s">
        <v>52</v>
      </c>
      <c r="B59" s="170">
        <v>77.716440000000006</v>
      </c>
      <c r="C59" s="170">
        <v>310.86561360000002</v>
      </c>
      <c r="D59" s="170"/>
      <c r="E59" s="322"/>
      <c r="F59" s="172">
        <f t="shared" si="1"/>
        <v>388.58205359999999</v>
      </c>
    </row>
    <row r="60" spans="1:6">
      <c r="A60" s="169" t="s">
        <v>358</v>
      </c>
      <c r="B60" s="170">
        <v>15.076139999999999</v>
      </c>
      <c r="C60" s="170">
        <v>60.304531599999997</v>
      </c>
      <c r="D60" s="170"/>
      <c r="E60" s="322"/>
      <c r="F60" s="172">
        <f t="shared" si="1"/>
        <v>75.380671599999999</v>
      </c>
    </row>
    <row r="61" spans="1:6">
      <c r="A61" s="169" t="s">
        <v>54</v>
      </c>
      <c r="B61" s="170">
        <v>22.189529999999998</v>
      </c>
      <c r="C61" s="170">
        <v>88.7580782</v>
      </c>
      <c r="D61" s="170"/>
      <c r="E61" s="322"/>
      <c r="F61" s="172">
        <f t="shared" si="1"/>
        <v>110.94760819999999</v>
      </c>
    </row>
    <row r="62" spans="1:6">
      <c r="A62" s="169" t="s">
        <v>55</v>
      </c>
      <c r="B62" s="170">
        <v>33.974400000000003</v>
      </c>
      <c r="C62" s="170">
        <v>135.89753600000003</v>
      </c>
      <c r="D62" s="170"/>
      <c r="E62" s="322"/>
      <c r="F62" s="172">
        <f t="shared" si="1"/>
        <v>169.87193600000003</v>
      </c>
    </row>
    <row r="63" spans="1:6">
      <c r="A63" s="169" t="s">
        <v>56</v>
      </c>
      <c r="B63" s="170">
        <v>90.669179999999983</v>
      </c>
      <c r="C63" s="170">
        <v>362.67654920000001</v>
      </c>
      <c r="D63" s="170"/>
      <c r="E63" s="322"/>
      <c r="F63" s="172">
        <f t="shared" si="1"/>
        <v>453.34572919999999</v>
      </c>
    </row>
    <row r="64" spans="1:6">
      <c r="A64" s="169" t="s">
        <v>57</v>
      </c>
      <c r="B64" s="170">
        <v>26.5425</v>
      </c>
      <c r="C64" s="170">
        <v>106.16995000000001</v>
      </c>
      <c r="D64" s="170"/>
      <c r="E64" s="322"/>
      <c r="F64" s="172">
        <f t="shared" si="1"/>
        <v>132.71245000000002</v>
      </c>
    </row>
    <row r="65" spans="1:6">
      <c r="A65" s="169" t="s">
        <v>58</v>
      </c>
      <c r="B65" s="170">
        <v>57.862650000000002</v>
      </c>
      <c r="C65" s="170">
        <v>231.45049100000003</v>
      </c>
      <c r="D65" s="170"/>
      <c r="E65" s="322"/>
      <c r="F65" s="172">
        <f t="shared" si="1"/>
        <v>289.31314100000003</v>
      </c>
    </row>
    <row r="66" spans="1:6">
      <c r="A66" s="169" t="s">
        <v>359</v>
      </c>
      <c r="B66" s="170">
        <v>237.28994999999998</v>
      </c>
      <c r="C66" s="170">
        <v>949.15935300000001</v>
      </c>
      <c r="D66" s="170"/>
      <c r="E66" s="322"/>
      <c r="F66" s="172">
        <f t="shared" si="1"/>
        <v>1186.4493029999999</v>
      </c>
    </row>
    <row r="67" spans="1:6">
      <c r="A67" s="169" t="s">
        <v>60</v>
      </c>
      <c r="B67" s="170">
        <v>69.116669999999999</v>
      </c>
      <c r="C67" s="170">
        <v>276.46654980000005</v>
      </c>
      <c r="D67" s="170"/>
      <c r="E67" s="322"/>
      <c r="F67" s="172">
        <f t="shared" si="1"/>
        <v>345.58321980000005</v>
      </c>
    </row>
    <row r="68" spans="1:6">
      <c r="A68" s="169" t="s">
        <v>360</v>
      </c>
      <c r="B68" s="170">
        <v>44.909910000000004</v>
      </c>
      <c r="C68" s="170">
        <v>179.63955540000003</v>
      </c>
      <c r="D68" s="170"/>
      <c r="E68" s="322"/>
      <c r="F68" s="172">
        <f t="shared" ref="F68" si="2">SUM(B68:E68)</f>
        <v>224.54946540000003</v>
      </c>
    </row>
    <row r="69" spans="1:6">
      <c r="A69" s="169" t="s">
        <v>361</v>
      </c>
      <c r="B69" s="170">
        <v>90.45684</v>
      </c>
      <c r="C69" s="170">
        <v>361.8271896</v>
      </c>
      <c r="D69" s="170"/>
      <c r="E69" s="322"/>
      <c r="F69" s="172">
        <f t="shared" ref="F69:F81" si="3">SUM(B69:E69)</f>
        <v>452.2840296</v>
      </c>
    </row>
    <row r="70" spans="1:6">
      <c r="A70" s="169" t="s">
        <v>362</v>
      </c>
      <c r="B70" s="170">
        <v>23.994419999999998</v>
      </c>
      <c r="C70" s="170">
        <v>95.977634800000004</v>
      </c>
      <c r="D70" s="170"/>
      <c r="E70" s="322"/>
      <c r="F70" s="172">
        <f t="shared" si="3"/>
        <v>119.9720548</v>
      </c>
    </row>
    <row r="71" spans="1:6">
      <c r="A71" s="169" t="s">
        <v>363</v>
      </c>
      <c r="B71" s="170">
        <v>201.82917</v>
      </c>
      <c r="C71" s="170">
        <v>807.31629980000002</v>
      </c>
      <c r="D71" s="170">
        <v>30.93</v>
      </c>
      <c r="E71" s="322">
        <v>123.72</v>
      </c>
      <c r="F71" s="172">
        <f t="shared" si="3"/>
        <v>1163.7954698000001</v>
      </c>
    </row>
    <row r="72" spans="1:6">
      <c r="A72" s="169" t="s">
        <v>364</v>
      </c>
      <c r="B72" s="170">
        <v>33.125039999999998</v>
      </c>
      <c r="C72" s="170">
        <v>132.5000976</v>
      </c>
      <c r="D72" s="170"/>
      <c r="E72" s="322"/>
      <c r="F72" s="172">
        <f t="shared" si="3"/>
        <v>165.62513760000002</v>
      </c>
    </row>
    <row r="73" spans="1:6">
      <c r="A73" s="169" t="s">
        <v>64</v>
      </c>
      <c r="B73" s="170">
        <v>1658.90625</v>
      </c>
      <c r="C73" s="170">
        <v>6635.6218750000007</v>
      </c>
      <c r="D73" s="170">
        <v>349.81</v>
      </c>
      <c r="E73" s="322">
        <v>1399.22</v>
      </c>
      <c r="F73" s="172">
        <f t="shared" si="3"/>
        <v>10043.558125</v>
      </c>
    </row>
    <row r="74" spans="1:6">
      <c r="A74" s="169" t="s">
        <v>65</v>
      </c>
      <c r="B74" s="170">
        <v>76.654740000000004</v>
      </c>
      <c r="C74" s="170">
        <v>306.6188156</v>
      </c>
      <c r="D74" s="170"/>
      <c r="E74" s="322"/>
      <c r="F74" s="172">
        <f t="shared" si="3"/>
        <v>383.27355560000001</v>
      </c>
    </row>
    <row r="75" spans="1:6">
      <c r="A75" s="169" t="s">
        <v>66</v>
      </c>
      <c r="B75" s="170">
        <v>52.129470000000005</v>
      </c>
      <c r="C75" s="170">
        <v>208.51778180000002</v>
      </c>
      <c r="D75" s="170"/>
      <c r="E75" s="322"/>
      <c r="F75" s="172">
        <f t="shared" si="3"/>
        <v>260.64725180000005</v>
      </c>
    </row>
    <row r="76" spans="1:6">
      <c r="A76" s="169" t="s">
        <v>365</v>
      </c>
      <c r="B76" s="170">
        <v>72.938789999999997</v>
      </c>
      <c r="C76" s="170">
        <v>291.75502260000002</v>
      </c>
      <c r="D76" s="170"/>
      <c r="E76" s="322"/>
      <c r="F76" s="172">
        <f t="shared" si="3"/>
        <v>364.6938126</v>
      </c>
    </row>
    <row r="77" spans="1:6">
      <c r="A77" s="169" t="s">
        <v>68</v>
      </c>
      <c r="B77" s="170">
        <v>317.12979000000001</v>
      </c>
      <c r="C77" s="170">
        <v>1268.5185626000002</v>
      </c>
      <c r="D77" s="170"/>
      <c r="E77" s="322"/>
      <c r="F77" s="172">
        <f t="shared" si="3"/>
        <v>1585.6483526000002</v>
      </c>
    </row>
    <row r="78" spans="1:6">
      <c r="A78" s="169" t="s">
        <v>366</v>
      </c>
      <c r="B78" s="170">
        <v>33.868230000000004</v>
      </c>
      <c r="C78" s="170">
        <v>135.47285620000002</v>
      </c>
      <c r="D78" s="170"/>
      <c r="E78" s="322"/>
      <c r="F78" s="172">
        <f t="shared" si="3"/>
        <v>169.34108620000003</v>
      </c>
    </row>
    <row r="79" spans="1:6">
      <c r="A79" s="169" t="s">
        <v>367</v>
      </c>
      <c r="B79" s="170">
        <v>69.859859999999998</v>
      </c>
      <c r="C79" s="170">
        <v>279.43930840000002</v>
      </c>
      <c r="D79" s="170"/>
      <c r="E79" s="322"/>
      <c r="F79" s="172">
        <f t="shared" si="3"/>
        <v>349.29916839999999</v>
      </c>
    </row>
    <row r="80" spans="1:6">
      <c r="A80" s="169" t="s">
        <v>71</v>
      </c>
      <c r="B80" s="170">
        <v>536.79552000000001</v>
      </c>
      <c r="C80" s="170">
        <v>2147.1810688</v>
      </c>
      <c r="D80" s="170">
        <v>238.35</v>
      </c>
      <c r="E80" s="322">
        <v>953.4</v>
      </c>
      <c r="F80" s="172">
        <f t="shared" si="3"/>
        <v>3875.7265888000002</v>
      </c>
    </row>
    <row r="81" spans="1:6" ht="15.75" thickBot="1">
      <c r="A81" s="169" t="s">
        <v>368</v>
      </c>
      <c r="B81" s="323">
        <v>1569.4049400000001</v>
      </c>
      <c r="C81" s="323">
        <v>6277.6168036000008</v>
      </c>
      <c r="D81" s="323">
        <v>69.08</v>
      </c>
      <c r="E81" s="324">
        <v>276.32</v>
      </c>
      <c r="F81" s="172">
        <f t="shared" si="3"/>
        <v>8192.4217436000017</v>
      </c>
    </row>
    <row r="82" spans="1:6" ht="16.5" thickTop="1" thickBot="1">
      <c r="A82" s="192" t="s">
        <v>2</v>
      </c>
      <c r="B82" s="287">
        <f>SUM(B4:B81)</f>
        <v>10617</v>
      </c>
      <c r="C82" s="288">
        <f>SUM(C4:C81)</f>
        <v>42467.98</v>
      </c>
      <c r="D82" s="287">
        <f>SUM(D4:D81)</f>
        <v>1470.4899999999998</v>
      </c>
      <c r="E82" s="289">
        <f>SUM(E4:E81)</f>
        <v>5881.9699999999984</v>
      </c>
      <c r="F82" s="193">
        <f>SUM(F4:F81)</f>
        <v>60437.440000000002</v>
      </c>
    </row>
    <row r="83" spans="1:6">
      <c r="C83" s="170"/>
      <c r="D83" s="170"/>
      <c r="E83" s="170"/>
      <c r="F83" s="170"/>
    </row>
    <row r="84" spans="1:6">
      <c r="C84" s="290">
        <f>B82/C82</f>
        <v>0.25000011773576231</v>
      </c>
      <c r="D84" s="290"/>
      <c r="E84" s="290">
        <f>D82/E82</f>
        <v>0.24999957497233072</v>
      </c>
    </row>
    <row r="89" spans="1:6">
      <c r="A89" s="168" t="s">
        <v>404</v>
      </c>
      <c r="C89" s="168" t="s">
        <v>407</v>
      </c>
    </row>
    <row r="90" spans="1:6">
      <c r="A90" s="168">
        <v>0.25</v>
      </c>
      <c r="B90" s="170" t="s">
        <v>405</v>
      </c>
      <c r="C90" s="168" t="s">
        <v>408</v>
      </c>
    </row>
    <row r="91" spans="1:6">
      <c r="A91" s="168">
        <v>0.25</v>
      </c>
      <c r="B91" s="170" t="s">
        <v>406</v>
      </c>
    </row>
  </sheetData>
  <mergeCells count="4">
    <mergeCell ref="F2:F3"/>
    <mergeCell ref="A1:F1"/>
    <mergeCell ref="B2:C2"/>
    <mergeCell ref="D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showGridLines="0" topLeftCell="B1" workbookViewId="0">
      <pane ySplit="2" topLeftCell="A3" activePane="bottomLeft" state="frozen"/>
      <selection activeCell="A2" sqref="A2"/>
      <selection pane="bottomLeft" activeCell="F16" sqref="F16"/>
    </sheetView>
  </sheetViews>
  <sheetFormatPr defaultRowHeight="15"/>
  <cols>
    <col min="3" max="3" width="25.7109375" customWidth="1"/>
    <col min="4" max="4" width="23.140625" customWidth="1"/>
    <col min="5" max="5" width="24.28515625" customWidth="1"/>
    <col min="6" max="6" width="23.7109375" customWidth="1"/>
    <col min="7" max="7" width="6.7109375" customWidth="1"/>
    <col min="8" max="8" width="21.140625" customWidth="1"/>
  </cols>
  <sheetData>
    <row r="1" spans="1:28" ht="15.75" thickBot="1"/>
    <row r="2" spans="1:28" ht="33.75" customHeight="1" thickBot="1">
      <c r="B2" s="464"/>
      <c r="C2" s="465"/>
      <c r="D2" s="229" t="s">
        <v>313</v>
      </c>
      <c r="E2" s="230" t="s">
        <v>411</v>
      </c>
      <c r="F2" s="231" t="s">
        <v>306</v>
      </c>
    </row>
    <row r="3" spans="1:28" ht="15.75" customHeight="1">
      <c r="B3" s="461" t="s">
        <v>83</v>
      </c>
      <c r="C3" s="244" t="s">
        <v>392</v>
      </c>
      <c r="D3" s="237"/>
      <c r="E3" s="237"/>
      <c r="F3" s="242"/>
    </row>
    <row r="4" spans="1:28">
      <c r="B4" s="461"/>
      <c r="C4" s="233" t="s">
        <v>393</v>
      </c>
      <c r="D4" s="236">
        <f>ICMS!L84</f>
        <v>298174213.38999999</v>
      </c>
      <c r="E4" s="238">
        <f>(VLOOKUP("*894920100*",Balancete!$1:$1048576,5,0)-VLOOKUP("*894920100*",Balancete!$1:$1048576,2,0))+(VLOOKUP("*894928000*",Balancete!$1:$1048576,5,0)-VLOOKUP("*894928000*",Balancete!$1:$1048576,2,0))</f>
        <v>298174212.55000007</v>
      </c>
      <c r="F4" s="260">
        <f>E4-D4</f>
        <v>-0.83999991416931152</v>
      </c>
    </row>
    <row r="5" spans="1:28">
      <c r="B5" s="461"/>
      <c r="C5" s="233" t="s">
        <v>394</v>
      </c>
      <c r="D5" s="236">
        <f>ICMS!P84</f>
        <v>15436033.99</v>
      </c>
      <c r="E5" s="238">
        <f>VLOOKUP("*894910100*",Balancete!$1:$1048576,5,0)</f>
        <v>15436034.01</v>
      </c>
      <c r="F5" s="241">
        <f t="shared" ref="F5" si="0">E5-D5</f>
        <v>1.9999999552965164E-2</v>
      </c>
    </row>
    <row r="6" spans="1:28">
      <c r="B6" s="461"/>
      <c r="C6" s="234" t="s">
        <v>1</v>
      </c>
      <c r="D6" s="237"/>
      <c r="E6" s="237"/>
      <c r="F6" s="242"/>
    </row>
    <row r="7" spans="1:28">
      <c r="B7" s="461"/>
      <c r="C7" s="233" t="s">
        <v>393</v>
      </c>
      <c r="D7" s="236">
        <f>(ICMS!K84-ICMS!C84)</f>
        <v>73648885.13000001</v>
      </c>
      <c r="E7" s="238">
        <f>(VLOOKUP("*894920200*",Balancete!$1:$1048576,5,0)-VLOOKUP("*894920200*",Balancete!$1:$1048576,2,0)-VLOOKUP("*894910200*",Balancete!$1:$1048576,2,0))+(VLOOKUP("*5258*",Balancete!$1:$1048576,5,0)-VLOOKUP("*5258*",Balancete!$1:$1048576,2,0))</f>
        <v>59669879.579999991</v>
      </c>
      <c r="F7" s="241">
        <f>E7-D7</f>
        <v>-13979005.550000019</v>
      </c>
    </row>
    <row r="8" spans="1:28">
      <c r="B8" s="461"/>
      <c r="C8" s="233" t="s">
        <v>394</v>
      </c>
      <c r="D8" s="236">
        <f>ICMS!O84</f>
        <v>3859008.47</v>
      </c>
      <c r="E8" s="238">
        <f>VLOOKUP("*894910200*",Balancete!$1:$1048576,5,0)</f>
        <v>17838012.84</v>
      </c>
      <c r="F8" s="241">
        <f>E8-D8</f>
        <v>13979004.369999999</v>
      </c>
    </row>
    <row r="9" spans="1:28" s="90" customFormat="1" ht="15.75" thickBot="1">
      <c r="A9"/>
      <c r="B9" s="462"/>
      <c r="C9" s="228"/>
      <c r="D9" s="239"/>
      <c r="E9" s="239"/>
      <c r="F9" s="243">
        <f>F7+F8</f>
        <v>-1.1800000201910734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:28">
      <c r="B10" s="463" t="s">
        <v>336</v>
      </c>
      <c r="C10" s="232" t="s">
        <v>392</v>
      </c>
      <c r="D10" s="235"/>
      <c r="E10" s="235"/>
      <c r="F10" s="240"/>
    </row>
    <row r="11" spans="1:28" s="82" customFormat="1">
      <c r="A11"/>
      <c r="B11" s="461"/>
      <c r="C11" s="233" t="s">
        <v>393</v>
      </c>
      <c r="D11" s="238">
        <f>IPVA!L85</f>
        <v>22838078.07</v>
      </c>
      <c r="E11" s="238">
        <f>(VLOOKUP("*894920500*",Balancete!1:1048576,5,0)-VLOOKUP("*894920500*",Balancete!1:1048576,2,0))+IFERROR((VLOOKUP("*894928200*",Balancete!1:1048576,5,0)-VLOOKUP("*894928200*",Balancete!1:1048576,2,0)),0)</f>
        <v>22838074.91</v>
      </c>
      <c r="F11" s="241">
        <f>E11-D11</f>
        <v>-3.1600000001490116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s="82" customFormat="1">
      <c r="A12"/>
      <c r="B12" s="461"/>
      <c r="C12" s="233" t="s">
        <v>394</v>
      </c>
      <c r="D12" s="238">
        <f>IPVA!P85</f>
        <v>3342310.17</v>
      </c>
      <c r="E12" s="238">
        <f>VLOOKUP("*894910500*",Balancete!1:1048576,5,0)</f>
        <v>3342309.79</v>
      </c>
      <c r="F12" s="241">
        <f>E12-D12</f>
        <v>-0.37999999988824129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>
      <c r="B13" s="461"/>
      <c r="C13" s="234" t="s">
        <v>1</v>
      </c>
      <c r="D13" s="237"/>
      <c r="E13" s="237"/>
      <c r="F13" s="242"/>
    </row>
    <row r="14" spans="1:28">
      <c r="B14" s="461"/>
      <c r="C14" s="233" t="s">
        <v>393</v>
      </c>
      <c r="D14" s="238">
        <f>(IPVA!K85-IPVA!C85)</f>
        <v>4863081.8900000006</v>
      </c>
      <c r="E14" s="238">
        <f>(VLOOKUP("*894920600*",Balancete!1:1048576,5,0)-VLOOKUP("*894920600*",Balancete!1:1048576,2,0)-VLOOKUP("*894910600*",Balancete!1:1048576,2,0))+IFERROR((VLOOKUP("*2096*",Balancete!1:1048576,5,0)-VLOOKUP("*2096*",Balancete!1:1048576,2,0)),0)</f>
        <v>3244221.0700000012</v>
      </c>
      <c r="F14" s="241">
        <f>E14-D14</f>
        <v>-1618860.8199999994</v>
      </c>
    </row>
    <row r="15" spans="1:28" s="90" customFormat="1">
      <c r="A15"/>
      <c r="B15" s="461"/>
      <c r="C15" s="233" t="s">
        <v>394</v>
      </c>
      <c r="D15" s="238">
        <f>IPVA!O85</f>
        <v>835576.76</v>
      </c>
      <c r="E15" s="238">
        <f>VLOOKUP("*894910600*",Balancete!1:1048576,5,0)</f>
        <v>2454444.91</v>
      </c>
      <c r="F15" s="241">
        <f>E15-D15</f>
        <v>1618868.1500000001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5.75" thickBot="1">
      <c r="B16" s="462"/>
      <c r="C16" s="228"/>
      <c r="D16" s="239"/>
      <c r="E16" s="239"/>
      <c r="F16" s="243">
        <f>F14+F15</f>
        <v>7.3300000007729977</v>
      </c>
    </row>
    <row r="17" spans="2:6">
      <c r="B17" s="463" t="s">
        <v>414</v>
      </c>
      <c r="C17" s="232" t="s">
        <v>392</v>
      </c>
      <c r="D17" s="235"/>
      <c r="E17" s="235"/>
      <c r="F17" s="240"/>
    </row>
    <row r="18" spans="2:6">
      <c r="B18" s="461"/>
      <c r="C18" s="233" t="s">
        <v>393</v>
      </c>
      <c r="D18" s="238">
        <f>IPI!D82+'IPI EXP'!K6</f>
        <v>3391589.51</v>
      </c>
      <c r="E18" s="238">
        <f>(VLOOKUP("*894920700*",Balancete!$1:$1048576,5,0)-VLOOKUP("*894920700*",Balancete!$1:$1048576,2,0))</f>
        <v>3391589.5100000002</v>
      </c>
      <c r="F18" s="241">
        <f>E18-D18</f>
        <v>0</v>
      </c>
    </row>
    <row r="19" spans="2:6">
      <c r="B19" s="461"/>
      <c r="C19" s="234" t="s">
        <v>1</v>
      </c>
      <c r="D19" s="237"/>
      <c r="E19" s="237"/>
      <c r="F19" s="242"/>
    </row>
    <row r="20" spans="2:6">
      <c r="B20" s="461"/>
      <c r="C20" s="233" t="s">
        <v>393</v>
      </c>
      <c r="D20" s="238">
        <f>'IPI EXP'!K7</f>
        <v>847897.37000000011</v>
      </c>
      <c r="E20" s="238">
        <f>(VLOOKUP("*894920800*",Balancete!$1:$1048576,5,0)-VLOOKUP("*894920800*",Balancete!$1:$1048576,2,0))</f>
        <v>847897.37000000011</v>
      </c>
      <c r="F20" s="241">
        <f>E20-D20</f>
        <v>0</v>
      </c>
    </row>
    <row r="21" spans="2:6" ht="15.75" thickBot="1">
      <c r="B21" s="462"/>
      <c r="C21" s="228"/>
      <c r="D21" s="239"/>
      <c r="E21" s="239"/>
      <c r="F21" s="243"/>
    </row>
    <row r="22" spans="2:6">
      <c r="B22" s="463" t="s">
        <v>415</v>
      </c>
      <c r="C22" s="232" t="s">
        <v>392</v>
      </c>
      <c r="D22" s="235"/>
      <c r="E22" s="235"/>
      <c r="F22" s="240"/>
    </row>
    <row r="23" spans="2:6" ht="15.75" thickBot="1">
      <c r="B23" s="462"/>
      <c r="C23" s="307" t="s">
        <v>393</v>
      </c>
      <c r="D23" s="308">
        <f>CIDE!B81</f>
        <v>0</v>
      </c>
      <c r="E23" s="308">
        <f>(VLOOKUP("*894920900*",Balancete!$1:$1048576,5,0)-VLOOKUP("*894920900*",Balancete!$1:$1048576,2,0))</f>
        <v>0</v>
      </c>
      <c r="F23" s="309">
        <f>E23-D23</f>
        <v>0</v>
      </c>
    </row>
    <row r="24" spans="2:6">
      <c r="B24" s="460" t="s">
        <v>417</v>
      </c>
      <c r="C24" s="244" t="s">
        <v>392</v>
      </c>
      <c r="D24" s="237"/>
      <c r="E24" s="237"/>
      <c r="F24" s="242"/>
    </row>
    <row r="25" spans="2:6">
      <c r="B25" s="461"/>
      <c r="C25" s="233" t="s">
        <v>393</v>
      </c>
      <c r="D25" s="236">
        <f>'LC 194 + 201'!D83+'LC 194 + 201'!N82+'LC 194 + 201'!L82</f>
        <v>0</v>
      </c>
      <c r="E25" s="238">
        <f>(VLOOKUP("*894925000*",Balancete!$1:$1048576,5,0)-VLOOKUP("*894925000*",Balancete!$1:$1048576,2,0))</f>
        <v>0</v>
      </c>
      <c r="F25" s="260">
        <f>E25-D25</f>
        <v>0</v>
      </c>
    </row>
    <row r="26" spans="2:6">
      <c r="B26" s="461"/>
      <c r="C26" s="233" t="s">
        <v>394</v>
      </c>
      <c r="D26" s="236">
        <f>'LC 194 + 201'!H82</f>
        <v>0</v>
      </c>
      <c r="E26" s="238" t="e">
        <f>VLOOKUP("*894915000*",Balancete!$1:$1048576,5,0)</f>
        <v>#N/A</v>
      </c>
      <c r="F26" s="241" t="e">
        <f t="shared" ref="F26" si="1">E26-D26</f>
        <v>#N/A</v>
      </c>
    </row>
    <row r="27" spans="2:6">
      <c r="B27" s="461"/>
      <c r="C27" s="234" t="s">
        <v>1</v>
      </c>
      <c r="D27" s="237"/>
      <c r="E27" s="237"/>
      <c r="F27" s="242"/>
    </row>
    <row r="28" spans="2:6">
      <c r="B28" s="461"/>
      <c r="C28" s="233" t="s">
        <v>393</v>
      </c>
      <c r="D28" s="236">
        <f>'LC 194 + 201'!C82+'LC 194 + 201'!M82</f>
        <v>0</v>
      </c>
      <c r="E28" s="238">
        <f>(VLOOKUP("*894926000*",Balancete!$1:$1048576,5,0)-VLOOKUP("*894926000*",Balancete!$1:$1048576,2,0))</f>
        <v>0</v>
      </c>
      <c r="F28" s="241">
        <f>E28-D28</f>
        <v>0</v>
      </c>
    </row>
    <row r="29" spans="2:6">
      <c r="B29" s="461"/>
      <c r="C29" s="233" t="s">
        <v>394</v>
      </c>
      <c r="D29" s="236">
        <f>'LC 194 + 201'!G82</f>
        <v>0</v>
      </c>
      <c r="E29" s="238" t="e">
        <f>VLOOKUP("*894916000*",Balancete!$1:$1048576,5,0)</f>
        <v>#N/A</v>
      </c>
      <c r="F29" s="241" t="e">
        <f>E29-D29</f>
        <v>#N/A</v>
      </c>
    </row>
    <row r="30" spans="2:6" ht="15.75" thickBot="1">
      <c r="B30" s="462"/>
      <c r="C30" s="228"/>
      <c r="D30" s="239"/>
      <c r="E30" s="239"/>
      <c r="F30" s="243" t="e">
        <f>F28+F29</f>
        <v>#N/A</v>
      </c>
    </row>
  </sheetData>
  <mergeCells count="6">
    <mergeCell ref="B24:B30"/>
    <mergeCell ref="B3:B9"/>
    <mergeCell ref="B10:B16"/>
    <mergeCell ref="B2:C2"/>
    <mergeCell ref="B17:B21"/>
    <mergeCell ref="B22:B23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7" zoomScaleNormal="100" workbookViewId="0">
      <selection activeCell="A15" sqref="A15:A16"/>
    </sheetView>
  </sheetViews>
  <sheetFormatPr defaultRowHeight="15" customHeight="1"/>
  <cols>
    <col min="1" max="1" width="90.42578125" style="227" customWidth="1"/>
    <col min="2" max="2" width="13.5703125" style="227" customWidth="1"/>
    <col min="3" max="3" width="16" style="227" bestFit="1" customWidth="1"/>
    <col min="4" max="5" width="17" style="227" bestFit="1" customWidth="1"/>
    <col min="6" max="6" width="6" style="227" bestFit="1" customWidth="1"/>
    <col min="7" max="7" width="8.7109375" style="227"/>
    <col min="8" max="8" width="13.85546875" style="227" bestFit="1" customWidth="1"/>
    <col min="9" max="9" width="16.140625" style="227" customWidth="1"/>
    <col min="10" max="256" width="8.7109375" style="227"/>
    <col min="257" max="258" width="40" style="227" bestFit="1" customWidth="1"/>
    <col min="259" max="259" width="16" style="227" bestFit="1" customWidth="1"/>
    <col min="260" max="261" width="17" style="227" bestFit="1" customWidth="1"/>
    <col min="262" max="262" width="6" style="227" bestFit="1" customWidth="1"/>
    <col min="263" max="512" width="8.7109375" style="227"/>
    <col min="513" max="514" width="40" style="227" bestFit="1" customWidth="1"/>
    <col min="515" max="515" width="16" style="227" bestFit="1" customWidth="1"/>
    <col min="516" max="517" width="17" style="227" bestFit="1" customWidth="1"/>
    <col min="518" max="518" width="6" style="227" bestFit="1" customWidth="1"/>
    <col min="519" max="768" width="8.7109375" style="227"/>
    <col min="769" max="770" width="40" style="227" bestFit="1" customWidth="1"/>
    <col min="771" max="771" width="16" style="227" bestFit="1" customWidth="1"/>
    <col min="772" max="773" width="17" style="227" bestFit="1" customWidth="1"/>
    <col min="774" max="774" width="6" style="227" bestFit="1" customWidth="1"/>
    <col min="775" max="1024" width="8.7109375" style="227"/>
    <col min="1025" max="1026" width="40" style="227" bestFit="1" customWidth="1"/>
    <col min="1027" max="1027" width="16" style="227" bestFit="1" customWidth="1"/>
    <col min="1028" max="1029" width="17" style="227" bestFit="1" customWidth="1"/>
    <col min="1030" max="1030" width="6" style="227" bestFit="1" customWidth="1"/>
    <col min="1031" max="1280" width="8.7109375" style="227"/>
    <col min="1281" max="1282" width="40" style="227" bestFit="1" customWidth="1"/>
    <col min="1283" max="1283" width="16" style="227" bestFit="1" customWidth="1"/>
    <col min="1284" max="1285" width="17" style="227" bestFit="1" customWidth="1"/>
    <col min="1286" max="1286" width="6" style="227" bestFit="1" customWidth="1"/>
    <col min="1287" max="1536" width="8.7109375" style="227"/>
    <col min="1537" max="1538" width="40" style="227" bestFit="1" customWidth="1"/>
    <col min="1539" max="1539" width="16" style="227" bestFit="1" customWidth="1"/>
    <col min="1540" max="1541" width="17" style="227" bestFit="1" customWidth="1"/>
    <col min="1542" max="1542" width="6" style="227" bestFit="1" customWidth="1"/>
    <col min="1543" max="1792" width="8.7109375" style="227"/>
    <col min="1793" max="1794" width="40" style="227" bestFit="1" customWidth="1"/>
    <col min="1795" max="1795" width="16" style="227" bestFit="1" customWidth="1"/>
    <col min="1796" max="1797" width="17" style="227" bestFit="1" customWidth="1"/>
    <col min="1798" max="1798" width="6" style="227" bestFit="1" customWidth="1"/>
    <col min="1799" max="2048" width="8.7109375" style="227"/>
    <col min="2049" max="2050" width="40" style="227" bestFit="1" customWidth="1"/>
    <col min="2051" max="2051" width="16" style="227" bestFit="1" customWidth="1"/>
    <col min="2052" max="2053" width="17" style="227" bestFit="1" customWidth="1"/>
    <col min="2054" max="2054" width="6" style="227" bestFit="1" customWidth="1"/>
    <col min="2055" max="2304" width="8.7109375" style="227"/>
    <col min="2305" max="2306" width="40" style="227" bestFit="1" customWidth="1"/>
    <col min="2307" max="2307" width="16" style="227" bestFit="1" customWidth="1"/>
    <col min="2308" max="2309" width="17" style="227" bestFit="1" customWidth="1"/>
    <col min="2310" max="2310" width="6" style="227" bestFit="1" customWidth="1"/>
    <col min="2311" max="2560" width="8.7109375" style="227"/>
    <col min="2561" max="2562" width="40" style="227" bestFit="1" customWidth="1"/>
    <col min="2563" max="2563" width="16" style="227" bestFit="1" customWidth="1"/>
    <col min="2564" max="2565" width="17" style="227" bestFit="1" customWidth="1"/>
    <col min="2566" max="2566" width="6" style="227" bestFit="1" customWidth="1"/>
    <col min="2567" max="2816" width="8.7109375" style="227"/>
    <col min="2817" max="2818" width="40" style="227" bestFit="1" customWidth="1"/>
    <col min="2819" max="2819" width="16" style="227" bestFit="1" customWidth="1"/>
    <col min="2820" max="2821" width="17" style="227" bestFit="1" customWidth="1"/>
    <col min="2822" max="2822" width="6" style="227" bestFit="1" customWidth="1"/>
    <col min="2823" max="3072" width="8.7109375" style="227"/>
    <col min="3073" max="3074" width="40" style="227" bestFit="1" customWidth="1"/>
    <col min="3075" max="3075" width="16" style="227" bestFit="1" customWidth="1"/>
    <col min="3076" max="3077" width="17" style="227" bestFit="1" customWidth="1"/>
    <col min="3078" max="3078" width="6" style="227" bestFit="1" customWidth="1"/>
    <col min="3079" max="3328" width="8.7109375" style="227"/>
    <col min="3329" max="3330" width="40" style="227" bestFit="1" customWidth="1"/>
    <col min="3331" max="3331" width="16" style="227" bestFit="1" customWidth="1"/>
    <col min="3332" max="3333" width="17" style="227" bestFit="1" customWidth="1"/>
    <col min="3334" max="3334" width="6" style="227" bestFit="1" customWidth="1"/>
    <col min="3335" max="3584" width="8.7109375" style="227"/>
    <col min="3585" max="3586" width="40" style="227" bestFit="1" customWidth="1"/>
    <col min="3587" max="3587" width="16" style="227" bestFit="1" customWidth="1"/>
    <col min="3588" max="3589" width="17" style="227" bestFit="1" customWidth="1"/>
    <col min="3590" max="3590" width="6" style="227" bestFit="1" customWidth="1"/>
    <col min="3591" max="3840" width="8.7109375" style="227"/>
    <col min="3841" max="3842" width="40" style="227" bestFit="1" customWidth="1"/>
    <col min="3843" max="3843" width="16" style="227" bestFit="1" customWidth="1"/>
    <col min="3844" max="3845" width="17" style="227" bestFit="1" customWidth="1"/>
    <col min="3846" max="3846" width="6" style="227" bestFit="1" customWidth="1"/>
    <col min="3847" max="4096" width="8.7109375" style="227"/>
    <col min="4097" max="4098" width="40" style="227" bestFit="1" customWidth="1"/>
    <col min="4099" max="4099" width="16" style="227" bestFit="1" customWidth="1"/>
    <col min="4100" max="4101" width="17" style="227" bestFit="1" customWidth="1"/>
    <col min="4102" max="4102" width="6" style="227" bestFit="1" customWidth="1"/>
    <col min="4103" max="4352" width="8.7109375" style="227"/>
    <col min="4353" max="4354" width="40" style="227" bestFit="1" customWidth="1"/>
    <col min="4355" max="4355" width="16" style="227" bestFit="1" customWidth="1"/>
    <col min="4356" max="4357" width="17" style="227" bestFit="1" customWidth="1"/>
    <col min="4358" max="4358" width="6" style="227" bestFit="1" customWidth="1"/>
    <col min="4359" max="4608" width="8.7109375" style="227"/>
    <col min="4609" max="4610" width="40" style="227" bestFit="1" customWidth="1"/>
    <col min="4611" max="4611" width="16" style="227" bestFit="1" customWidth="1"/>
    <col min="4612" max="4613" width="17" style="227" bestFit="1" customWidth="1"/>
    <col min="4614" max="4614" width="6" style="227" bestFit="1" customWidth="1"/>
    <col min="4615" max="4864" width="8.7109375" style="227"/>
    <col min="4865" max="4866" width="40" style="227" bestFit="1" customWidth="1"/>
    <col min="4867" max="4867" width="16" style="227" bestFit="1" customWidth="1"/>
    <col min="4868" max="4869" width="17" style="227" bestFit="1" customWidth="1"/>
    <col min="4870" max="4870" width="6" style="227" bestFit="1" customWidth="1"/>
    <col min="4871" max="5120" width="8.7109375" style="227"/>
    <col min="5121" max="5122" width="40" style="227" bestFit="1" customWidth="1"/>
    <col min="5123" max="5123" width="16" style="227" bestFit="1" customWidth="1"/>
    <col min="5124" max="5125" width="17" style="227" bestFit="1" customWidth="1"/>
    <col min="5126" max="5126" width="6" style="227" bestFit="1" customWidth="1"/>
    <col min="5127" max="5376" width="8.7109375" style="227"/>
    <col min="5377" max="5378" width="40" style="227" bestFit="1" customWidth="1"/>
    <col min="5379" max="5379" width="16" style="227" bestFit="1" customWidth="1"/>
    <col min="5380" max="5381" width="17" style="227" bestFit="1" customWidth="1"/>
    <col min="5382" max="5382" width="6" style="227" bestFit="1" customWidth="1"/>
    <col min="5383" max="5632" width="8.7109375" style="227"/>
    <col min="5633" max="5634" width="40" style="227" bestFit="1" customWidth="1"/>
    <col min="5635" max="5635" width="16" style="227" bestFit="1" customWidth="1"/>
    <col min="5636" max="5637" width="17" style="227" bestFit="1" customWidth="1"/>
    <col min="5638" max="5638" width="6" style="227" bestFit="1" customWidth="1"/>
    <col min="5639" max="5888" width="8.7109375" style="227"/>
    <col min="5889" max="5890" width="40" style="227" bestFit="1" customWidth="1"/>
    <col min="5891" max="5891" width="16" style="227" bestFit="1" customWidth="1"/>
    <col min="5892" max="5893" width="17" style="227" bestFit="1" customWidth="1"/>
    <col min="5894" max="5894" width="6" style="227" bestFit="1" customWidth="1"/>
    <col min="5895" max="6144" width="8.7109375" style="227"/>
    <col min="6145" max="6146" width="40" style="227" bestFit="1" customWidth="1"/>
    <col min="6147" max="6147" width="16" style="227" bestFit="1" customWidth="1"/>
    <col min="6148" max="6149" width="17" style="227" bestFit="1" customWidth="1"/>
    <col min="6150" max="6150" width="6" style="227" bestFit="1" customWidth="1"/>
    <col min="6151" max="6400" width="8.7109375" style="227"/>
    <col min="6401" max="6402" width="40" style="227" bestFit="1" customWidth="1"/>
    <col min="6403" max="6403" width="16" style="227" bestFit="1" customWidth="1"/>
    <col min="6404" max="6405" width="17" style="227" bestFit="1" customWidth="1"/>
    <col min="6406" max="6406" width="6" style="227" bestFit="1" customWidth="1"/>
    <col min="6407" max="6656" width="8.7109375" style="227"/>
    <col min="6657" max="6658" width="40" style="227" bestFit="1" customWidth="1"/>
    <col min="6659" max="6659" width="16" style="227" bestFit="1" customWidth="1"/>
    <col min="6660" max="6661" width="17" style="227" bestFit="1" customWidth="1"/>
    <col min="6662" max="6662" width="6" style="227" bestFit="1" customWidth="1"/>
    <col min="6663" max="6912" width="8.7109375" style="227"/>
    <col min="6913" max="6914" width="40" style="227" bestFit="1" customWidth="1"/>
    <col min="6915" max="6915" width="16" style="227" bestFit="1" customWidth="1"/>
    <col min="6916" max="6917" width="17" style="227" bestFit="1" customWidth="1"/>
    <col min="6918" max="6918" width="6" style="227" bestFit="1" customWidth="1"/>
    <col min="6919" max="7168" width="8.7109375" style="227"/>
    <col min="7169" max="7170" width="40" style="227" bestFit="1" customWidth="1"/>
    <col min="7171" max="7171" width="16" style="227" bestFit="1" customWidth="1"/>
    <col min="7172" max="7173" width="17" style="227" bestFit="1" customWidth="1"/>
    <col min="7174" max="7174" width="6" style="227" bestFit="1" customWidth="1"/>
    <col min="7175" max="7424" width="8.7109375" style="227"/>
    <col min="7425" max="7426" width="40" style="227" bestFit="1" customWidth="1"/>
    <col min="7427" max="7427" width="16" style="227" bestFit="1" customWidth="1"/>
    <col min="7428" max="7429" width="17" style="227" bestFit="1" customWidth="1"/>
    <col min="7430" max="7430" width="6" style="227" bestFit="1" customWidth="1"/>
    <col min="7431" max="7680" width="8.7109375" style="227"/>
    <col min="7681" max="7682" width="40" style="227" bestFit="1" customWidth="1"/>
    <col min="7683" max="7683" width="16" style="227" bestFit="1" customWidth="1"/>
    <col min="7684" max="7685" width="17" style="227" bestFit="1" customWidth="1"/>
    <col min="7686" max="7686" width="6" style="227" bestFit="1" customWidth="1"/>
    <col min="7687" max="7936" width="8.7109375" style="227"/>
    <col min="7937" max="7938" width="40" style="227" bestFit="1" customWidth="1"/>
    <col min="7939" max="7939" width="16" style="227" bestFit="1" customWidth="1"/>
    <col min="7940" max="7941" width="17" style="227" bestFit="1" customWidth="1"/>
    <col min="7942" max="7942" width="6" style="227" bestFit="1" customWidth="1"/>
    <col min="7943" max="8192" width="8.7109375" style="227"/>
    <col min="8193" max="8194" width="40" style="227" bestFit="1" customWidth="1"/>
    <col min="8195" max="8195" width="16" style="227" bestFit="1" customWidth="1"/>
    <col min="8196" max="8197" width="17" style="227" bestFit="1" customWidth="1"/>
    <col min="8198" max="8198" width="6" style="227" bestFit="1" customWidth="1"/>
    <col min="8199" max="8448" width="8.7109375" style="227"/>
    <col min="8449" max="8450" width="40" style="227" bestFit="1" customWidth="1"/>
    <col min="8451" max="8451" width="16" style="227" bestFit="1" customWidth="1"/>
    <col min="8452" max="8453" width="17" style="227" bestFit="1" customWidth="1"/>
    <col min="8454" max="8454" width="6" style="227" bestFit="1" customWidth="1"/>
    <col min="8455" max="8704" width="8.7109375" style="227"/>
    <col min="8705" max="8706" width="40" style="227" bestFit="1" customWidth="1"/>
    <col min="8707" max="8707" width="16" style="227" bestFit="1" customWidth="1"/>
    <col min="8708" max="8709" width="17" style="227" bestFit="1" customWidth="1"/>
    <col min="8710" max="8710" width="6" style="227" bestFit="1" customWidth="1"/>
    <col min="8711" max="8960" width="8.7109375" style="227"/>
    <col min="8961" max="8962" width="40" style="227" bestFit="1" customWidth="1"/>
    <col min="8963" max="8963" width="16" style="227" bestFit="1" customWidth="1"/>
    <col min="8964" max="8965" width="17" style="227" bestFit="1" customWidth="1"/>
    <col min="8966" max="8966" width="6" style="227" bestFit="1" customWidth="1"/>
    <col min="8967" max="9216" width="8.7109375" style="227"/>
    <col min="9217" max="9218" width="40" style="227" bestFit="1" customWidth="1"/>
    <col min="9219" max="9219" width="16" style="227" bestFit="1" customWidth="1"/>
    <col min="9220" max="9221" width="17" style="227" bestFit="1" customWidth="1"/>
    <col min="9222" max="9222" width="6" style="227" bestFit="1" customWidth="1"/>
    <col min="9223" max="9472" width="8.7109375" style="227"/>
    <col min="9473" max="9474" width="40" style="227" bestFit="1" customWidth="1"/>
    <col min="9475" max="9475" width="16" style="227" bestFit="1" customWidth="1"/>
    <col min="9476" max="9477" width="17" style="227" bestFit="1" customWidth="1"/>
    <col min="9478" max="9478" width="6" style="227" bestFit="1" customWidth="1"/>
    <col min="9479" max="9728" width="8.7109375" style="227"/>
    <col min="9729" max="9730" width="40" style="227" bestFit="1" customWidth="1"/>
    <col min="9731" max="9731" width="16" style="227" bestFit="1" customWidth="1"/>
    <col min="9732" max="9733" width="17" style="227" bestFit="1" customWidth="1"/>
    <col min="9734" max="9734" width="6" style="227" bestFit="1" customWidth="1"/>
    <col min="9735" max="9984" width="8.7109375" style="227"/>
    <col min="9985" max="9986" width="40" style="227" bestFit="1" customWidth="1"/>
    <col min="9987" max="9987" width="16" style="227" bestFit="1" customWidth="1"/>
    <col min="9988" max="9989" width="17" style="227" bestFit="1" customWidth="1"/>
    <col min="9990" max="9990" width="6" style="227" bestFit="1" customWidth="1"/>
    <col min="9991" max="10240" width="8.7109375" style="227"/>
    <col min="10241" max="10242" width="40" style="227" bestFit="1" customWidth="1"/>
    <col min="10243" max="10243" width="16" style="227" bestFit="1" customWidth="1"/>
    <col min="10244" max="10245" width="17" style="227" bestFit="1" customWidth="1"/>
    <col min="10246" max="10246" width="6" style="227" bestFit="1" customWidth="1"/>
    <col min="10247" max="10496" width="8.7109375" style="227"/>
    <col min="10497" max="10498" width="40" style="227" bestFit="1" customWidth="1"/>
    <col min="10499" max="10499" width="16" style="227" bestFit="1" customWidth="1"/>
    <col min="10500" max="10501" width="17" style="227" bestFit="1" customWidth="1"/>
    <col min="10502" max="10502" width="6" style="227" bestFit="1" customWidth="1"/>
    <col min="10503" max="10752" width="8.7109375" style="227"/>
    <col min="10753" max="10754" width="40" style="227" bestFit="1" customWidth="1"/>
    <col min="10755" max="10755" width="16" style="227" bestFit="1" customWidth="1"/>
    <col min="10756" max="10757" width="17" style="227" bestFit="1" customWidth="1"/>
    <col min="10758" max="10758" width="6" style="227" bestFit="1" customWidth="1"/>
    <col min="10759" max="11008" width="8.7109375" style="227"/>
    <col min="11009" max="11010" width="40" style="227" bestFit="1" customWidth="1"/>
    <col min="11011" max="11011" width="16" style="227" bestFit="1" customWidth="1"/>
    <col min="11012" max="11013" width="17" style="227" bestFit="1" customWidth="1"/>
    <col min="11014" max="11014" width="6" style="227" bestFit="1" customWidth="1"/>
    <col min="11015" max="11264" width="8.7109375" style="227"/>
    <col min="11265" max="11266" width="40" style="227" bestFit="1" customWidth="1"/>
    <col min="11267" max="11267" width="16" style="227" bestFit="1" customWidth="1"/>
    <col min="11268" max="11269" width="17" style="227" bestFit="1" customWidth="1"/>
    <col min="11270" max="11270" width="6" style="227" bestFit="1" customWidth="1"/>
    <col min="11271" max="11520" width="8.7109375" style="227"/>
    <col min="11521" max="11522" width="40" style="227" bestFit="1" customWidth="1"/>
    <col min="11523" max="11523" width="16" style="227" bestFit="1" customWidth="1"/>
    <col min="11524" max="11525" width="17" style="227" bestFit="1" customWidth="1"/>
    <col min="11526" max="11526" width="6" style="227" bestFit="1" customWidth="1"/>
    <col min="11527" max="11776" width="8.7109375" style="227"/>
    <col min="11777" max="11778" width="40" style="227" bestFit="1" customWidth="1"/>
    <col min="11779" max="11779" width="16" style="227" bestFit="1" customWidth="1"/>
    <col min="11780" max="11781" width="17" style="227" bestFit="1" customWidth="1"/>
    <col min="11782" max="11782" width="6" style="227" bestFit="1" customWidth="1"/>
    <col min="11783" max="12032" width="8.7109375" style="227"/>
    <col min="12033" max="12034" width="40" style="227" bestFit="1" customWidth="1"/>
    <col min="12035" max="12035" width="16" style="227" bestFit="1" customWidth="1"/>
    <col min="12036" max="12037" width="17" style="227" bestFit="1" customWidth="1"/>
    <col min="12038" max="12038" width="6" style="227" bestFit="1" customWidth="1"/>
    <col min="12039" max="12288" width="8.7109375" style="227"/>
    <col min="12289" max="12290" width="40" style="227" bestFit="1" customWidth="1"/>
    <col min="12291" max="12291" width="16" style="227" bestFit="1" customWidth="1"/>
    <col min="12292" max="12293" width="17" style="227" bestFit="1" customWidth="1"/>
    <col min="12294" max="12294" width="6" style="227" bestFit="1" customWidth="1"/>
    <col min="12295" max="12544" width="8.7109375" style="227"/>
    <col min="12545" max="12546" width="40" style="227" bestFit="1" customWidth="1"/>
    <col min="12547" max="12547" width="16" style="227" bestFit="1" customWidth="1"/>
    <col min="12548" max="12549" width="17" style="227" bestFit="1" customWidth="1"/>
    <col min="12550" max="12550" width="6" style="227" bestFit="1" customWidth="1"/>
    <col min="12551" max="12800" width="8.7109375" style="227"/>
    <col min="12801" max="12802" width="40" style="227" bestFit="1" customWidth="1"/>
    <col min="12803" max="12803" width="16" style="227" bestFit="1" customWidth="1"/>
    <col min="12804" max="12805" width="17" style="227" bestFit="1" customWidth="1"/>
    <col min="12806" max="12806" width="6" style="227" bestFit="1" customWidth="1"/>
    <col min="12807" max="13056" width="8.7109375" style="227"/>
    <col min="13057" max="13058" width="40" style="227" bestFit="1" customWidth="1"/>
    <col min="13059" max="13059" width="16" style="227" bestFit="1" customWidth="1"/>
    <col min="13060" max="13061" width="17" style="227" bestFit="1" customWidth="1"/>
    <col min="13062" max="13062" width="6" style="227" bestFit="1" customWidth="1"/>
    <col min="13063" max="13312" width="8.7109375" style="227"/>
    <col min="13313" max="13314" width="40" style="227" bestFit="1" customWidth="1"/>
    <col min="13315" max="13315" width="16" style="227" bestFit="1" customWidth="1"/>
    <col min="13316" max="13317" width="17" style="227" bestFit="1" customWidth="1"/>
    <col min="13318" max="13318" width="6" style="227" bestFit="1" customWidth="1"/>
    <col min="13319" max="13568" width="8.7109375" style="227"/>
    <col min="13569" max="13570" width="40" style="227" bestFit="1" customWidth="1"/>
    <col min="13571" max="13571" width="16" style="227" bestFit="1" customWidth="1"/>
    <col min="13572" max="13573" width="17" style="227" bestFit="1" customWidth="1"/>
    <col min="13574" max="13574" width="6" style="227" bestFit="1" customWidth="1"/>
    <col min="13575" max="13824" width="8.7109375" style="227"/>
    <col min="13825" max="13826" width="40" style="227" bestFit="1" customWidth="1"/>
    <col min="13827" max="13827" width="16" style="227" bestFit="1" customWidth="1"/>
    <col min="13828" max="13829" width="17" style="227" bestFit="1" customWidth="1"/>
    <col min="13830" max="13830" width="6" style="227" bestFit="1" customWidth="1"/>
    <col min="13831" max="14080" width="8.7109375" style="227"/>
    <col min="14081" max="14082" width="40" style="227" bestFit="1" customWidth="1"/>
    <col min="14083" max="14083" width="16" style="227" bestFit="1" customWidth="1"/>
    <col min="14084" max="14085" width="17" style="227" bestFit="1" customWidth="1"/>
    <col min="14086" max="14086" width="6" style="227" bestFit="1" customWidth="1"/>
    <col min="14087" max="14336" width="8.7109375" style="227"/>
    <col min="14337" max="14338" width="40" style="227" bestFit="1" customWidth="1"/>
    <col min="14339" max="14339" width="16" style="227" bestFit="1" customWidth="1"/>
    <col min="14340" max="14341" width="17" style="227" bestFit="1" customWidth="1"/>
    <col min="14342" max="14342" width="6" style="227" bestFit="1" customWidth="1"/>
    <col min="14343" max="14592" width="8.7109375" style="227"/>
    <col min="14593" max="14594" width="40" style="227" bestFit="1" customWidth="1"/>
    <col min="14595" max="14595" width="16" style="227" bestFit="1" customWidth="1"/>
    <col min="14596" max="14597" width="17" style="227" bestFit="1" customWidth="1"/>
    <col min="14598" max="14598" width="6" style="227" bestFit="1" customWidth="1"/>
    <col min="14599" max="14848" width="8.7109375" style="227"/>
    <col min="14849" max="14850" width="40" style="227" bestFit="1" customWidth="1"/>
    <col min="14851" max="14851" width="16" style="227" bestFit="1" customWidth="1"/>
    <col min="14852" max="14853" width="17" style="227" bestFit="1" customWidth="1"/>
    <col min="14854" max="14854" width="6" style="227" bestFit="1" customWidth="1"/>
    <col min="14855" max="15104" width="8.7109375" style="227"/>
    <col min="15105" max="15106" width="40" style="227" bestFit="1" customWidth="1"/>
    <col min="15107" max="15107" width="16" style="227" bestFit="1" customWidth="1"/>
    <col min="15108" max="15109" width="17" style="227" bestFit="1" customWidth="1"/>
    <col min="15110" max="15110" width="6" style="227" bestFit="1" customWidth="1"/>
    <col min="15111" max="15360" width="8.7109375" style="227"/>
    <col min="15361" max="15362" width="40" style="227" bestFit="1" customWidth="1"/>
    <col min="15363" max="15363" width="16" style="227" bestFit="1" customWidth="1"/>
    <col min="15364" max="15365" width="17" style="227" bestFit="1" customWidth="1"/>
    <col min="15366" max="15366" width="6" style="227" bestFit="1" customWidth="1"/>
    <col min="15367" max="15616" width="8.7109375" style="227"/>
    <col min="15617" max="15618" width="40" style="227" bestFit="1" customWidth="1"/>
    <col min="15619" max="15619" width="16" style="227" bestFit="1" customWidth="1"/>
    <col min="15620" max="15621" width="17" style="227" bestFit="1" customWidth="1"/>
    <col min="15622" max="15622" width="6" style="227" bestFit="1" customWidth="1"/>
    <col min="15623" max="15872" width="8.7109375" style="227"/>
    <col min="15873" max="15874" width="40" style="227" bestFit="1" customWidth="1"/>
    <col min="15875" max="15875" width="16" style="227" bestFit="1" customWidth="1"/>
    <col min="15876" max="15877" width="17" style="227" bestFit="1" customWidth="1"/>
    <col min="15878" max="15878" width="6" style="227" bestFit="1" customWidth="1"/>
    <col min="15879" max="16128" width="8.7109375" style="227"/>
    <col min="16129" max="16130" width="40" style="227" bestFit="1" customWidth="1"/>
    <col min="16131" max="16131" width="16" style="227" bestFit="1" customWidth="1"/>
    <col min="16132" max="16133" width="17" style="227" bestFit="1" customWidth="1"/>
    <col min="16134" max="16134" width="6" style="227" bestFit="1" customWidth="1"/>
    <col min="16135" max="16384" width="8.7109375" style="227"/>
  </cols>
  <sheetData>
    <row r="1" spans="1:9" s="311" customFormat="1">
      <c r="A1" s="467"/>
      <c r="B1" s="471" t="s">
        <v>275</v>
      </c>
      <c r="C1" s="467"/>
      <c r="D1" s="467"/>
      <c r="E1" s="467"/>
      <c r="F1" s="177" t="s">
        <v>276</v>
      </c>
    </row>
    <row r="2" spans="1:9" s="311" customFormat="1">
      <c r="A2" s="467"/>
      <c r="B2" s="472" t="s">
        <v>277</v>
      </c>
      <c r="C2" s="467"/>
      <c r="D2" s="467"/>
      <c r="E2" s="467"/>
      <c r="F2" s="177" t="s">
        <v>276</v>
      </c>
    </row>
    <row r="3" spans="1:9" s="311" customFormat="1">
      <c r="A3" s="467"/>
      <c r="B3" s="473" t="s">
        <v>419</v>
      </c>
      <c r="C3" s="467"/>
      <c r="D3" s="467"/>
      <c r="E3" s="467"/>
      <c r="F3" s="467"/>
    </row>
    <row r="4" spans="1:9" s="311" customFormat="1">
      <c r="A4" s="474" t="s">
        <v>278</v>
      </c>
      <c r="B4" s="474"/>
      <c r="C4" s="474"/>
      <c r="D4" s="474"/>
      <c r="E4" s="474"/>
      <c r="F4" s="474"/>
    </row>
    <row r="5" spans="1:9" s="311" customFormat="1">
      <c r="A5" s="319" t="s">
        <v>276</v>
      </c>
      <c r="B5" s="177" t="s">
        <v>276</v>
      </c>
      <c r="C5" s="177" t="s">
        <v>276</v>
      </c>
      <c r="D5" s="177" t="s">
        <v>276</v>
      </c>
      <c r="E5" s="177" t="s">
        <v>276</v>
      </c>
      <c r="F5" s="177" t="s">
        <v>276</v>
      </c>
    </row>
    <row r="6" spans="1:9" s="311" customFormat="1">
      <c r="A6" s="475" t="s">
        <v>307</v>
      </c>
      <c r="B6" s="476"/>
      <c r="C6" s="477"/>
      <c r="D6" s="63" t="s">
        <v>279</v>
      </c>
      <c r="E6" s="63" t="s">
        <v>280</v>
      </c>
      <c r="F6" s="63" t="s">
        <v>281</v>
      </c>
    </row>
    <row r="7" spans="1:9" s="413" customFormat="1">
      <c r="A7" s="468" t="s">
        <v>308</v>
      </c>
      <c r="B7" s="469"/>
      <c r="C7" s="470"/>
      <c r="D7" s="177" t="s">
        <v>625</v>
      </c>
      <c r="E7" s="177" t="s">
        <v>384</v>
      </c>
      <c r="F7" s="177" t="s">
        <v>282</v>
      </c>
    </row>
    <row r="8" spans="1:9" s="311" customFormat="1">
      <c r="A8" s="320" t="s">
        <v>283</v>
      </c>
      <c r="B8" s="64" t="s">
        <v>284</v>
      </c>
      <c r="C8" s="64" t="s">
        <v>285</v>
      </c>
      <c r="D8" s="64" t="s">
        <v>286</v>
      </c>
      <c r="E8" s="64" t="s">
        <v>287</v>
      </c>
      <c r="F8" s="64" t="s">
        <v>288</v>
      </c>
    </row>
    <row r="9" spans="1:9" s="311" customFormat="1">
      <c r="A9" s="319" t="s">
        <v>276</v>
      </c>
      <c r="B9" s="177" t="s">
        <v>276</v>
      </c>
      <c r="C9" s="177" t="s">
        <v>276</v>
      </c>
      <c r="D9" s="177" t="s">
        <v>276</v>
      </c>
      <c r="E9" s="177" t="s">
        <v>276</v>
      </c>
      <c r="F9" s="177" t="s">
        <v>276</v>
      </c>
    </row>
    <row r="10" spans="1:9" ht="15" customHeight="1">
      <c r="A10" s="65" t="s">
        <v>289</v>
      </c>
      <c r="B10" s="70">
        <v>1163131027.49</v>
      </c>
      <c r="C10" s="70">
        <v>624322623.92999995</v>
      </c>
      <c r="D10" s="70">
        <v>1622936703.77</v>
      </c>
      <c r="E10" s="70">
        <v>2161745107.3299999</v>
      </c>
      <c r="F10" s="65" t="s">
        <v>109</v>
      </c>
    </row>
    <row r="11" spans="1:9" ht="15" customHeight="1">
      <c r="A11" s="66" t="s">
        <v>290</v>
      </c>
      <c r="B11" s="71">
        <v>14311135.470000001</v>
      </c>
      <c r="C11" s="71">
        <v>410171001.79000002</v>
      </c>
      <c r="D11" s="71">
        <v>434930667.89999998</v>
      </c>
      <c r="E11" s="71">
        <v>39070801.579999998</v>
      </c>
      <c r="F11" s="66" t="s">
        <v>109</v>
      </c>
    </row>
    <row r="12" spans="1:9" ht="15" customHeight="1">
      <c r="A12" s="67" t="s">
        <v>291</v>
      </c>
      <c r="B12" s="72">
        <v>3578672.62</v>
      </c>
      <c r="C12" s="72">
        <v>300811795.66000003</v>
      </c>
      <c r="D12" s="72">
        <v>312669157.05000001</v>
      </c>
      <c r="E12" s="72">
        <v>15436034.01</v>
      </c>
      <c r="F12" s="67" t="s">
        <v>109</v>
      </c>
    </row>
    <row r="13" spans="1:9" ht="15" customHeight="1">
      <c r="A13" s="68" t="s">
        <v>292</v>
      </c>
      <c r="B13" s="73">
        <v>5684503.8300000001</v>
      </c>
      <c r="C13" s="73">
        <v>65707343.359999999</v>
      </c>
      <c r="D13" s="73">
        <v>77860852.370000005</v>
      </c>
      <c r="E13" s="73">
        <v>17838012.84</v>
      </c>
      <c r="F13" s="68" t="s">
        <v>109</v>
      </c>
      <c r="H13" s="306"/>
      <c r="I13" s="306"/>
    </row>
    <row r="14" spans="1:9" ht="15" customHeight="1">
      <c r="A14" s="67" t="s">
        <v>293</v>
      </c>
      <c r="B14" s="72">
        <v>3385723.48</v>
      </c>
      <c r="C14" s="72">
        <v>25980345.989999998</v>
      </c>
      <c r="D14" s="72">
        <v>25936932.300000001</v>
      </c>
      <c r="E14" s="72">
        <v>3342309.79</v>
      </c>
      <c r="F14" s="67" t="s">
        <v>109</v>
      </c>
    </row>
    <row r="15" spans="1:9" ht="15" customHeight="1">
      <c r="A15" s="68" t="s">
        <v>294</v>
      </c>
      <c r="B15" s="73">
        <v>1619766.42</v>
      </c>
      <c r="C15" s="73">
        <v>5103070.45</v>
      </c>
      <c r="D15" s="73">
        <v>5937748.9400000004</v>
      </c>
      <c r="E15" s="73">
        <v>2454444.91</v>
      </c>
      <c r="F15" s="68" t="s">
        <v>109</v>
      </c>
    </row>
    <row r="16" spans="1:9" s="291" customFormat="1" ht="15" customHeight="1">
      <c r="A16" s="67" t="s">
        <v>295</v>
      </c>
      <c r="B16" s="72">
        <v>0.03</v>
      </c>
      <c r="C16" s="72">
        <v>8150793.0999999996</v>
      </c>
      <c r="D16" s="72">
        <v>8150793.0999999996</v>
      </c>
      <c r="E16" s="72">
        <v>0.03</v>
      </c>
      <c r="F16" s="67" t="s">
        <v>109</v>
      </c>
    </row>
    <row r="17" spans="1:9" s="291" customFormat="1" ht="15" customHeight="1">
      <c r="A17" s="66" t="s">
        <v>296</v>
      </c>
      <c r="B17" s="71">
        <v>486431675.56</v>
      </c>
      <c r="C17" s="71">
        <v>3423769.81</v>
      </c>
      <c r="D17" s="71">
        <v>407210787.01999998</v>
      </c>
      <c r="E17" s="71">
        <v>890218692.76999998</v>
      </c>
      <c r="F17" s="66" t="s">
        <v>109</v>
      </c>
    </row>
    <row r="18" spans="1:9">
      <c r="A18" s="67" t="s">
        <v>297</v>
      </c>
      <c r="B18" s="72">
        <v>356905913.13999999</v>
      </c>
      <c r="C18" s="72">
        <v>1225743.01</v>
      </c>
      <c r="D18" s="72">
        <v>299357487.57999998</v>
      </c>
      <c r="E18" s="72">
        <v>655037657.71000004</v>
      </c>
      <c r="F18" s="67" t="s">
        <v>109</v>
      </c>
      <c r="H18" s="306"/>
    </row>
    <row r="19" spans="1:9">
      <c r="A19" s="68" t="s">
        <v>298</v>
      </c>
      <c r="B19" s="73">
        <v>84430295.120000005</v>
      </c>
      <c r="C19" s="73">
        <v>10616.99</v>
      </c>
      <c r="D19" s="73">
        <v>65354383.409999996</v>
      </c>
      <c r="E19" s="73">
        <v>149774061.53999999</v>
      </c>
      <c r="F19" s="68" t="s">
        <v>109</v>
      </c>
      <c r="H19" s="306"/>
    </row>
    <row r="20" spans="1:9" s="264" customFormat="1" ht="15" customHeight="1">
      <c r="A20" s="67" t="s">
        <v>299</v>
      </c>
      <c r="B20" s="72">
        <v>24464557.91</v>
      </c>
      <c r="C20" s="72">
        <v>2185939.3199999998</v>
      </c>
      <c r="D20" s="72">
        <v>25018132.260000002</v>
      </c>
      <c r="E20" s="72">
        <v>47296750.850000001</v>
      </c>
      <c r="F20" s="67" t="s">
        <v>109</v>
      </c>
    </row>
    <row r="21" spans="1:9" s="264" customFormat="1" ht="15" customHeight="1">
      <c r="A21" s="68" t="s">
        <v>300</v>
      </c>
      <c r="B21" s="73">
        <v>5477458.71</v>
      </c>
      <c r="C21" s="73">
        <v>1470.49</v>
      </c>
      <c r="D21" s="73">
        <v>4863987.49</v>
      </c>
      <c r="E21" s="73">
        <v>10339975.710000001</v>
      </c>
      <c r="F21" s="68" t="s">
        <v>109</v>
      </c>
      <c r="H21" s="306"/>
      <c r="I21" s="306"/>
    </row>
    <row r="22" spans="1:9" s="261" customFormat="1" ht="15" customHeight="1">
      <c r="A22" s="67" t="s">
        <v>301</v>
      </c>
      <c r="B22" s="72">
        <v>3260973.94</v>
      </c>
      <c r="C22" s="72">
        <v>0</v>
      </c>
      <c r="D22" s="72">
        <v>3391589.51</v>
      </c>
      <c r="E22" s="72">
        <v>6652563.4500000002</v>
      </c>
      <c r="F22" s="67" t="s">
        <v>109</v>
      </c>
      <c r="H22" s="306"/>
      <c r="I22" s="263"/>
    </row>
    <row r="23" spans="1:9" s="261" customFormat="1" ht="15" customHeight="1">
      <c r="A23" s="68" t="s">
        <v>302</v>
      </c>
      <c r="B23" s="73">
        <v>815243.48</v>
      </c>
      <c r="C23" s="73">
        <v>0</v>
      </c>
      <c r="D23" s="73">
        <v>847897.37</v>
      </c>
      <c r="E23" s="73">
        <v>1663140.85</v>
      </c>
      <c r="F23" s="68" t="s">
        <v>109</v>
      </c>
    </row>
    <row r="24" spans="1:9" s="261" customFormat="1" ht="15" customHeight="1">
      <c r="A24" s="67" t="s">
        <v>303</v>
      </c>
      <c r="B24" s="72">
        <v>1152899.22</v>
      </c>
      <c r="C24" s="72">
        <v>0</v>
      </c>
      <c r="D24" s="72">
        <v>0</v>
      </c>
      <c r="E24" s="72">
        <v>1152899.22</v>
      </c>
      <c r="F24" s="67" t="s">
        <v>109</v>
      </c>
      <c r="H24" s="263"/>
      <c r="I24" s="263"/>
    </row>
    <row r="25" spans="1:9" s="261" customFormat="1" ht="15" customHeight="1">
      <c r="A25" s="68" t="s">
        <v>304</v>
      </c>
      <c r="B25" s="73">
        <v>6809209.3899999997</v>
      </c>
      <c r="C25" s="73">
        <v>0</v>
      </c>
      <c r="D25" s="73">
        <v>8150793.0999999996</v>
      </c>
      <c r="E25" s="73">
        <v>14960002.49</v>
      </c>
      <c r="F25" s="68" t="s">
        <v>109</v>
      </c>
      <c r="H25" s="306"/>
    </row>
    <row r="26" spans="1:9" s="261" customFormat="1" ht="15" customHeight="1">
      <c r="A26" s="67" t="s">
        <v>305</v>
      </c>
      <c r="B26" s="72">
        <v>211435.72</v>
      </c>
      <c r="C26" s="72">
        <v>0</v>
      </c>
      <c r="D26" s="72">
        <v>178166.35</v>
      </c>
      <c r="E26" s="72">
        <v>389602.07</v>
      </c>
      <c r="F26" s="67" t="s">
        <v>109</v>
      </c>
      <c r="H26" s="306">
        <f>E26-B26</f>
        <v>178166.35</v>
      </c>
    </row>
    <row r="27" spans="1:9" s="261" customFormat="1" ht="15" customHeight="1">
      <c r="A27" s="68" t="s">
        <v>319</v>
      </c>
      <c r="B27" s="73">
        <v>2226021.9300000002</v>
      </c>
      <c r="C27" s="73">
        <v>0</v>
      </c>
      <c r="D27" s="73">
        <v>0</v>
      </c>
      <c r="E27" s="73">
        <v>2226021.9300000002</v>
      </c>
      <c r="F27" s="68" t="s">
        <v>109</v>
      </c>
    </row>
    <row r="28" spans="1:9" s="261" customFormat="1" ht="15" customHeight="1">
      <c r="A28" s="67" t="s">
        <v>320</v>
      </c>
      <c r="B28" s="72">
        <v>556505.48</v>
      </c>
      <c r="C28" s="72">
        <v>0</v>
      </c>
      <c r="D28" s="72">
        <v>0</v>
      </c>
      <c r="E28" s="72">
        <v>556505.48</v>
      </c>
      <c r="F28" s="67" t="s">
        <v>109</v>
      </c>
    </row>
    <row r="29" spans="1:9" s="261" customFormat="1" ht="15" customHeight="1">
      <c r="A29" s="68" t="s">
        <v>385</v>
      </c>
      <c r="B29" s="73">
        <v>121161.52</v>
      </c>
      <c r="C29" s="73">
        <v>0</v>
      </c>
      <c r="D29" s="73">
        <v>42467.98</v>
      </c>
      <c r="E29" s="73">
        <v>163629.5</v>
      </c>
      <c r="F29" s="68" t="s">
        <v>109</v>
      </c>
    </row>
    <row r="30" spans="1:9" s="261" customFormat="1" ht="15" customHeight="1">
      <c r="A30" s="67" t="s">
        <v>626</v>
      </c>
      <c r="B30" s="72">
        <v>0</v>
      </c>
      <c r="C30" s="72">
        <v>0</v>
      </c>
      <c r="D30" s="72">
        <v>5881.97</v>
      </c>
      <c r="E30" s="72">
        <v>5881.97</v>
      </c>
      <c r="F30" s="67" t="s">
        <v>109</v>
      </c>
      <c r="H30" s="306"/>
    </row>
    <row r="31" spans="1:9" s="261" customFormat="1" ht="15" customHeight="1">
      <c r="A31" s="66" t="s">
        <v>370</v>
      </c>
      <c r="B31" s="71">
        <v>285109694.86000001</v>
      </c>
      <c r="C31" s="71">
        <v>208380713.91</v>
      </c>
      <c r="D31" s="71">
        <v>452093851.37</v>
      </c>
      <c r="E31" s="71">
        <v>528822832.31999999</v>
      </c>
      <c r="F31" s="66" t="s">
        <v>109</v>
      </c>
      <c r="H31" s="306"/>
    </row>
    <row r="32" spans="1:9" s="261" customFormat="1" ht="15" customHeight="1">
      <c r="A32" s="67" t="s">
        <v>371</v>
      </c>
      <c r="B32" s="72">
        <v>19330925.82</v>
      </c>
      <c r="C32" s="72">
        <v>207873684.11000001</v>
      </c>
      <c r="D32" s="72">
        <v>245180237.94</v>
      </c>
      <c r="E32" s="72">
        <v>56637479.649999999</v>
      </c>
      <c r="F32" s="67" t="s">
        <v>109</v>
      </c>
      <c r="H32" s="306"/>
      <c r="I32" s="263"/>
    </row>
    <row r="33" spans="1:8" s="261" customFormat="1" ht="15" customHeight="1">
      <c r="A33" s="68" t="s">
        <v>372</v>
      </c>
      <c r="B33" s="73">
        <v>263606695.28</v>
      </c>
      <c r="C33" s="73">
        <v>111579.41</v>
      </c>
      <c r="D33" s="73">
        <v>206123196.97999999</v>
      </c>
      <c r="E33" s="73">
        <v>469618312.85000002</v>
      </c>
      <c r="F33" s="68" t="s">
        <v>109</v>
      </c>
    </row>
    <row r="34" spans="1:8" s="261" customFormat="1" ht="15" customHeight="1">
      <c r="A34" s="67" t="s">
        <v>373</v>
      </c>
      <c r="B34" s="72">
        <v>1669516.42</v>
      </c>
      <c r="C34" s="72">
        <v>0</v>
      </c>
      <c r="D34" s="72">
        <v>0</v>
      </c>
      <c r="E34" s="72">
        <v>1669516.42</v>
      </c>
      <c r="F34" s="67" t="s">
        <v>109</v>
      </c>
    </row>
    <row r="35" spans="1:8" s="261" customFormat="1" ht="15" customHeight="1">
      <c r="A35" s="68" t="s">
        <v>374</v>
      </c>
      <c r="B35" s="73">
        <v>132065.37</v>
      </c>
      <c r="C35" s="73">
        <v>395450.39</v>
      </c>
      <c r="D35" s="73">
        <v>394966.06</v>
      </c>
      <c r="E35" s="73">
        <v>131581.04</v>
      </c>
      <c r="F35" s="68" t="s">
        <v>109</v>
      </c>
    </row>
    <row r="36" spans="1:8" ht="15" customHeight="1">
      <c r="A36" s="67" t="s">
        <v>375</v>
      </c>
      <c r="B36" s="72">
        <v>370491.97</v>
      </c>
      <c r="C36" s="72">
        <v>0</v>
      </c>
      <c r="D36" s="72">
        <v>395450.39</v>
      </c>
      <c r="E36" s="72">
        <v>765942.36</v>
      </c>
      <c r="F36" s="67" t="s">
        <v>109</v>
      </c>
    </row>
    <row r="37" spans="1:8" ht="15" customHeight="1">
      <c r="A37" s="66" t="s">
        <v>386</v>
      </c>
      <c r="B37" s="71">
        <v>377278521.60000002</v>
      </c>
      <c r="C37" s="71">
        <v>2347138.42</v>
      </c>
      <c r="D37" s="71">
        <v>328701397.48000002</v>
      </c>
      <c r="E37" s="71">
        <v>703632780.65999997</v>
      </c>
      <c r="F37" s="66" t="s">
        <v>109</v>
      </c>
    </row>
    <row r="38" spans="1:8" ht="15" customHeight="1">
      <c r="A38" s="65" t="s">
        <v>387</v>
      </c>
      <c r="B38" s="70">
        <v>377278521.60000002</v>
      </c>
      <c r="C38" s="70">
        <v>2347138.42</v>
      </c>
      <c r="D38" s="70">
        <v>328701397.48000002</v>
      </c>
      <c r="E38" s="70">
        <v>703632780.65999997</v>
      </c>
      <c r="F38" s="65" t="s">
        <v>109</v>
      </c>
    </row>
    <row r="39" spans="1:8" s="264" customFormat="1" ht="15" customHeight="1">
      <c r="A39" s="68" t="s">
        <v>388</v>
      </c>
      <c r="B39" s="73">
        <v>96679271.260000005</v>
      </c>
      <c r="C39" s="73">
        <v>604130.39</v>
      </c>
      <c r="D39" s="73">
        <v>84388466.469999999</v>
      </c>
      <c r="E39" s="73">
        <v>180463607.34</v>
      </c>
      <c r="F39" s="68" t="s">
        <v>109</v>
      </c>
    </row>
    <row r="40" spans="1:8" ht="15" customHeight="1">
      <c r="A40" s="67" t="s">
        <v>389</v>
      </c>
      <c r="B40" s="72">
        <v>30290.39</v>
      </c>
      <c r="C40" s="72">
        <v>0</v>
      </c>
      <c r="D40" s="72">
        <v>12087.48</v>
      </c>
      <c r="E40" s="72">
        <v>42377.87</v>
      </c>
      <c r="F40" s="67" t="s">
        <v>109</v>
      </c>
    </row>
    <row r="41" spans="1:8" ht="15" customHeight="1">
      <c r="A41" s="417" t="s">
        <v>630</v>
      </c>
      <c r="B41" s="72">
        <v>0</v>
      </c>
      <c r="C41" s="72">
        <v>0</v>
      </c>
      <c r="D41" s="72">
        <v>1470.49</v>
      </c>
      <c r="E41" s="72">
        <v>1470.49</v>
      </c>
      <c r="F41" s="68" t="s">
        <v>109</v>
      </c>
    </row>
    <row r="42" spans="1:8" ht="15" customHeight="1">
      <c r="A42" s="417" t="s">
        <v>420</v>
      </c>
      <c r="B42" s="72">
        <v>30290.39</v>
      </c>
      <c r="C42" s="72">
        <v>0</v>
      </c>
      <c r="D42" s="72">
        <v>10616.99</v>
      </c>
      <c r="E42" s="72">
        <v>40907.379999999997</v>
      </c>
      <c r="F42" s="67" t="s">
        <v>109</v>
      </c>
    </row>
    <row r="43" spans="1:8" s="261" customFormat="1" ht="15" customHeight="1">
      <c r="A43" s="68" t="s">
        <v>390</v>
      </c>
      <c r="B43" s="73">
        <v>280478088.76999998</v>
      </c>
      <c r="C43" s="73">
        <v>1743008.03</v>
      </c>
      <c r="D43" s="73">
        <v>244267522.05000001</v>
      </c>
      <c r="E43" s="73">
        <v>523002602.79000002</v>
      </c>
      <c r="F43" s="66" t="s">
        <v>109</v>
      </c>
    </row>
    <row r="44" spans="1:8" s="261" customFormat="1" ht="15" customHeight="1">
      <c r="A44" s="67" t="s">
        <v>391</v>
      </c>
      <c r="B44" s="72">
        <v>90871.18</v>
      </c>
      <c r="C44" s="72">
        <v>0</v>
      </c>
      <c r="D44" s="72">
        <v>33321.480000000003</v>
      </c>
      <c r="E44" s="72">
        <v>124192.66</v>
      </c>
      <c r="F44" s="177" t="s">
        <v>276</v>
      </c>
    </row>
    <row r="45" spans="1:8" s="261" customFormat="1" ht="15" customHeight="1">
      <c r="A45" s="66" t="s">
        <v>627</v>
      </c>
      <c r="B45" s="71">
        <v>10151188861.59</v>
      </c>
      <c r="C45" s="71">
        <v>0</v>
      </c>
      <c r="D45" s="71">
        <v>0</v>
      </c>
      <c r="E45" s="71">
        <v>10151188861.59</v>
      </c>
      <c r="F45" s="413"/>
    </row>
    <row r="46" spans="1:8" s="261" customFormat="1" ht="15" customHeight="1">
      <c r="A46" s="466" t="s">
        <v>628</v>
      </c>
      <c r="B46" s="467"/>
      <c r="C46" s="467"/>
      <c r="D46" s="467"/>
      <c r="E46" s="467"/>
      <c r="F46" s="67" t="s">
        <v>109</v>
      </c>
      <c r="H46" s="306"/>
    </row>
    <row r="47" spans="1:8" s="261" customFormat="1" ht="15" customHeight="1">
      <c r="A47" s="416" t="s">
        <v>629</v>
      </c>
      <c r="B47" s="413"/>
      <c r="C47" s="413"/>
      <c r="D47" s="413"/>
      <c r="E47" s="413"/>
      <c r="F47" s="262"/>
      <c r="H47" s="306"/>
    </row>
  </sheetData>
  <mergeCells count="8">
    <mergeCell ref="A46:E46"/>
    <mergeCell ref="A7:C7"/>
    <mergeCell ref="A1:A3"/>
    <mergeCell ref="B1:E1"/>
    <mergeCell ref="B2:E2"/>
    <mergeCell ref="B3:F3"/>
    <mergeCell ref="A4:F4"/>
    <mergeCell ref="A6:C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79"/>
  <sheetViews>
    <sheetView workbookViewId="0">
      <selection activeCell="J8" sqref="J8"/>
    </sheetView>
  </sheetViews>
  <sheetFormatPr defaultColWidth="9.140625" defaultRowHeight="12.75"/>
  <cols>
    <col min="1" max="1" width="11.42578125" style="329" customWidth="1"/>
    <col min="2" max="2" width="30" style="329" customWidth="1"/>
    <col min="3" max="8" width="14.7109375" style="329" customWidth="1"/>
    <col min="9" max="9" width="14.7109375" style="402" customWidth="1"/>
    <col min="10" max="10" width="14.7109375" style="329" customWidth="1"/>
    <col min="11" max="11" width="16.140625" style="351" bestFit="1" customWidth="1"/>
    <col min="12" max="12" width="16.140625" style="330" customWidth="1"/>
    <col min="13" max="14" width="14.7109375" style="329" customWidth="1"/>
    <col min="15" max="16384" width="9.140625" style="329"/>
  </cols>
  <sheetData>
    <row r="1" spans="1:14" ht="12.75" customHeight="1">
      <c r="B1" s="438" t="s">
        <v>116</v>
      </c>
      <c r="C1" s="438"/>
      <c r="D1" s="438"/>
      <c r="E1" s="438"/>
      <c r="F1" s="438"/>
      <c r="G1" s="438"/>
      <c r="H1" s="438"/>
      <c r="I1" s="438"/>
      <c r="J1" s="438"/>
      <c r="K1" s="438"/>
      <c r="M1" s="331"/>
      <c r="N1" s="331"/>
    </row>
    <row r="2" spans="1:14" ht="12.75" customHeight="1">
      <c r="B2" s="438" t="s">
        <v>117</v>
      </c>
      <c r="C2" s="438"/>
      <c r="D2" s="438"/>
      <c r="E2" s="438"/>
      <c r="F2" s="438"/>
      <c r="G2" s="438"/>
      <c r="H2" s="438"/>
      <c r="I2" s="438"/>
      <c r="J2" s="438"/>
      <c r="K2" s="438"/>
      <c r="M2" s="331"/>
      <c r="N2" s="331"/>
    </row>
    <row r="3" spans="1:14" ht="12.75" customHeight="1">
      <c r="B3" s="438" t="s">
        <v>118</v>
      </c>
      <c r="C3" s="438"/>
      <c r="D3" s="438"/>
      <c r="E3" s="438"/>
      <c r="F3" s="438"/>
      <c r="G3" s="438"/>
      <c r="H3" s="438"/>
      <c r="I3" s="438"/>
      <c r="J3" s="438"/>
      <c r="K3" s="438"/>
      <c r="M3" s="331"/>
      <c r="N3" s="331"/>
    </row>
    <row r="4" spans="1:14" ht="12.75" customHeight="1">
      <c r="B4" s="438" t="s">
        <v>424</v>
      </c>
      <c r="C4" s="438"/>
      <c r="D4" s="438"/>
      <c r="E4" s="438"/>
      <c r="F4" s="438"/>
      <c r="G4" s="438"/>
      <c r="H4" s="438"/>
      <c r="I4" s="438"/>
      <c r="J4" s="438"/>
      <c r="K4" s="438"/>
      <c r="M4" s="331"/>
      <c r="N4" s="331"/>
    </row>
    <row r="5" spans="1:14">
      <c r="B5" s="439" t="s">
        <v>587</v>
      </c>
      <c r="C5" s="439"/>
      <c r="D5" s="439"/>
      <c r="E5" s="439"/>
      <c r="F5" s="439"/>
      <c r="G5" s="439"/>
      <c r="H5" s="439"/>
      <c r="I5" s="439"/>
      <c r="J5" s="439"/>
      <c r="K5" s="439"/>
      <c r="M5" s="332"/>
      <c r="N5" s="332"/>
    </row>
    <row r="6" spans="1:14">
      <c r="A6" s="333"/>
      <c r="B6" s="333"/>
      <c r="C6" s="333"/>
      <c r="D6" s="333"/>
      <c r="E6" s="333"/>
      <c r="F6" s="333"/>
      <c r="G6" s="333"/>
      <c r="H6" s="333"/>
      <c r="I6" s="334"/>
      <c r="J6" s="333"/>
      <c r="K6" s="335"/>
      <c r="L6" s="333"/>
      <c r="M6" s="333"/>
      <c r="N6" s="333"/>
    </row>
    <row r="7" spans="1:14" ht="78.75">
      <c r="A7" s="336" t="s">
        <v>425</v>
      </c>
      <c r="B7" s="337" t="s">
        <v>119</v>
      </c>
      <c r="C7" s="338" t="s">
        <v>584</v>
      </c>
      <c r="D7" s="339" t="s">
        <v>426</v>
      </c>
      <c r="E7" s="339" t="s">
        <v>427</v>
      </c>
      <c r="F7" s="339" t="s">
        <v>120</v>
      </c>
      <c r="G7" s="340" t="s">
        <v>428</v>
      </c>
      <c r="H7" s="341" t="s">
        <v>429</v>
      </c>
      <c r="I7" s="342" t="s">
        <v>583</v>
      </c>
      <c r="J7" s="343" t="s">
        <v>430</v>
      </c>
      <c r="K7" s="344" t="s">
        <v>431</v>
      </c>
      <c r="L7" s="344" t="s">
        <v>383</v>
      </c>
    </row>
    <row r="8" spans="1:14" ht="15">
      <c r="A8" s="345" t="s">
        <v>432</v>
      </c>
      <c r="B8" s="346" t="s">
        <v>121</v>
      </c>
      <c r="C8" s="347" t="s">
        <v>515</v>
      </c>
      <c r="D8" s="348">
        <f>'Publicação '!C11</f>
        <v>2728294.06</v>
      </c>
      <c r="E8" s="349">
        <v>0</v>
      </c>
      <c r="F8" s="350">
        <f>D8</f>
        <v>2728294.06</v>
      </c>
      <c r="G8" s="348">
        <f>'Publicação '!I11</f>
        <v>32262.4951568</v>
      </c>
      <c r="H8" s="351">
        <f>'Publicação '!K11</f>
        <v>121737.16</v>
      </c>
      <c r="I8" s="352">
        <v>1.016568E-2</v>
      </c>
      <c r="J8" s="348">
        <f>ROYALTIES!B3</f>
        <v>59663.81</v>
      </c>
      <c r="K8" s="353">
        <f>'Publicação '!M11</f>
        <v>0</v>
      </c>
      <c r="L8" s="354">
        <f>'Publicação '!N11</f>
        <v>0</v>
      </c>
      <c r="N8" s="355"/>
    </row>
    <row r="9" spans="1:14" ht="15">
      <c r="A9" s="345" t="s">
        <v>433</v>
      </c>
      <c r="B9" s="356" t="s">
        <v>122</v>
      </c>
      <c r="C9" s="357" t="s">
        <v>516</v>
      </c>
      <c r="D9" s="358">
        <f>'Publicação '!C12</f>
        <v>1051064.0899999999</v>
      </c>
      <c r="E9" s="359">
        <v>0</v>
      </c>
      <c r="F9" s="360">
        <f t="shared" ref="F9:F72" si="0">D9</f>
        <v>1051064.0899999999</v>
      </c>
      <c r="G9" s="358">
        <f>'Publicação '!I12</f>
        <v>12252.117083199999</v>
      </c>
      <c r="H9" s="351">
        <f>'Publicação '!K12</f>
        <v>34830.22</v>
      </c>
      <c r="I9" s="361">
        <v>4.6524499999999998E-3</v>
      </c>
      <c r="J9" s="358">
        <f>ROYALTIES!B4</f>
        <v>22985.24</v>
      </c>
      <c r="K9" s="362">
        <f>'Publicação '!M12</f>
        <v>0</v>
      </c>
      <c r="L9" s="354">
        <f>'Publicação '!N12</f>
        <v>0</v>
      </c>
      <c r="N9" s="355"/>
    </row>
    <row r="10" spans="1:14" ht="15">
      <c r="A10" s="345" t="s">
        <v>434</v>
      </c>
      <c r="B10" s="356" t="s">
        <v>123</v>
      </c>
      <c r="C10" s="357">
        <v>4.5999999999999999E-3</v>
      </c>
      <c r="D10" s="358">
        <f>'Publicação '!C13</f>
        <v>1714501.7300000002</v>
      </c>
      <c r="E10" s="359">
        <v>0</v>
      </c>
      <c r="F10" s="360">
        <f t="shared" si="0"/>
        <v>1714501.7300000002</v>
      </c>
      <c r="G10" s="358">
        <f>'Publicação '!I13</f>
        <v>17127.526995200002</v>
      </c>
      <c r="H10" s="351">
        <f>'Publicação '!K13</f>
        <v>35013.42</v>
      </c>
      <c r="I10" s="361">
        <v>3.5779599999999998E-3</v>
      </c>
      <c r="J10" s="358">
        <f>ROYALTIES!B5</f>
        <v>37493.65</v>
      </c>
      <c r="K10" s="362">
        <f>'Publicação '!M13</f>
        <v>0</v>
      </c>
      <c r="L10" s="354">
        <f>'Publicação '!N13</f>
        <v>0</v>
      </c>
      <c r="N10" s="355"/>
    </row>
    <row r="11" spans="1:14" ht="15">
      <c r="A11" s="345" t="s">
        <v>435</v>
      </c>
      <c r="B11" s="356" t="s">
        <v>124</v>
      </c>
      <c r="C11" s="357" t="s">
        <v>517</v>
      </c>
      <c r="D11" s="358">
        <f>'Publicação '!C14</f>
        <v>1744319.1299999997</v>
      </c>
      <c r="E11" s="359">
        <v>0</v>
      </c>
      <c r="F11" s="360">
        <f t="shared" si="0"/>
        <v>1744319.1299999997</v>
      </c>
      <c r="G11" s="358">
        <f>'Publicação '!I14</f>
        <v>21112.644662399998</v>
      </c>
      <c r="H11" s="351">
        <f>'Publicação '!K14</f>
        <v>101538.29</v>
      </c>
      <c r="I11" s="361">
        <v>9.86713E-3</v>
      </c>
      <c r="J11" s="358">
        <f>ROYALTIES!B6</f>
        <v>38145.71</v>
      </c>
      <c r="K11" s="362">
        <f>'Publicação '!M14</f>
        <v>0</v>
      </c>
      <c r="L11" s="354">
        <f>'Publicação '!N14</f>
        <v>0</v>
      </c>
      <c r="N11" s="355"/>
    </row>
    <row r="12" spans="1:14" ht="15">
      <c r="A12" s="345" t="s">
        <v>436</v>
      </c>
      <c r="B12" s="356" t="s">
        <v>125</v>
      </c>
      <c r="C12" s="357" t="s">
        <v>518</v>
      </c>
      <c r="D12" s="358">
        <f>'Publicação '!C15</f>
        <v>1707047.3800000001</v>
      </c>
      <c r="E12" s="359">
        <v>0</v>
      </c>
      <c r="F12" s="360">
        <f t="shared" si="0"/>
        <v>1707047.3800000001</v>
      </c>
      <c r="G12" s="358">
        <f>'Publicação '!I15</f>
        <v>19798.403729600002</v>
      </c>
      <c r="H12" s="351">
        <f>'Publicação '!K15</f>
        <v>112329.37</v>
      </c>
      <c r="I12" s="361">
        <v>5.6569000000000003E-3</v>
      </c>
      <c r="J12" s="358">
        <f>ROYALTIES!B7</f>
        <v>37330.629999999997</v>
      </c>
      <c r="K12" s="362">
        <f>'Publicação '!M15</f>
        <v>0</v>
      </c>
      <c r="L12" s="354">
        <f>'Publicação '!N15</f>
        <v>0</v>
      </c>
      <c r="N12" s="355"/>
    </row>
    <row r="13" spans="1:14" ht="15">
      <c r="A13" s="345" t="s">
        <v>437</v>
      </c>
      <c r="B13" s="356" t="s">
        <v>126</v>
      </c>
      <c r="C13" s="357">
        <v>2.3E-3</v>
      </c>
      <c r="D13" s="358">
        <f>'Publicação '!C16</f>
        <v>857250.86</v>
      </c>
      <c r="E13" s="359">
        <v>0</v>
      </c>
      <c r="F13" s="360">
        <f t="shared" si="0"/>
        <v>857250.86</v>
      </c>
      <c r="G13" s="358">
        <f>'Publicação '!I16</f>
        <v>9581.2403488</v>
      </c>
      <c r="H13" s="351">
        <f>'Publicação '!K16</f>
        <v>13306.850000000002</v>
      </c>
      <c r="I13" s="361">
        <v>3.2809900000000001E-3</v>
      </c>
      <c r="J13" s="358">
        <f>ROYALTIES!B8</f>
        <v>18746.82</v>
      </c>
      <c r="K13" s="362">
        <f>'Publicação '!M16</f>
        <v>0</v>
      </c>
      <c r="L13" s="354">
        <f>'Publicação '!N16</f>
        <v>0</v>
      </c>
      <c r="N13" s="355"/>
    </row>
    <row r="14" spans="1:14" ht="15">
      <c r="A14" s="345" t="s">
        <v>438</v>
      </c>
      <c r="B14" s="356" t="s">
        <v>127</v>
      </c>
      <c r="C14" s="357" t="s">
        <v>519</v>
      </c>
      <c r="D14" s="358">
        <f>'Publicação '!C17</f>
        <v>15859140.990000004</v>
      </c>
      <c r="E14" s="359">
        <v>0</v>
      </c>
      <c r="F14" s="360">
        <f t="shared" si="0"/>
        <v>15859140.990000004</v>
      </c>
      <c r="G14" s="358">
        <f>'Publicação '!I17</f>
        <v>133459.0469824</v>
      </c>
      <c r="H14" s="351">
        <f>'Publicação '!K17</f>
        <v>195099.21000000002</v>
      </c>
      <c r="I14" s="361">
        <v>9.3039000000000004E-3</v>
      </c>
      <c r="J14" s="358">
        <f>ROYALTIES!B9</f>
        <v>346816.24</v>
      </c>
      <c r="K14" s="362">
        <f>'Publicação '!M17</f>
        <v>0</v>
      </c>
      <c r="L14" s="354">
        <f>'Publicação '!N17</f>
        <v>0</v>
      </c>
      <c r="N14" s="355"/>
    </row>
    <row r="15" spans="1:14" ht="15">
      <c r="A15" s="345" t="s">
        <v>439</v>
      </c>
      <c r="B15" s="356" t="s">
        <v>128</v>
      </c>
      <c r="C15" s="357" t="s">
        <v>520</v>
      </c>
      <c r="D15" s="358">
        <f>'Publicação '!C18</f>
        <v>700709.4</v>
      </c>
      <c r="E15" s="359">
        <v>0</v>
      </c>
      <c r="F15" s="360">
        <f t="shared" si="0"/>
        <v>700709.4</v>
      </c>
      <c r="G15" s="358">
        <f>'Publicação '!I18</f>
        <v>7843.0507280000002</v>
      </c>
      <c r="H15" s="351">
        <f>'Publicação '!K18</f>
        <v>67152.399999999994</v>
      </c>
      <c r="I15" s="361">
        <v>3.2534700000000001E-3</v>
      </c>
      <c r="J15" s="358">
        <f>ROYALTIES!B10</f>
        <v>15323.49</v>
      </c>
      <c r="K15" s="362">
        <f>'Publicação '!M18</f>
        <v>0</v>
      </c>
      <c r="L15" s="354">
        <f>'Publicação '!N18</f>
        <v>0</v>
      </c>
      <c r="N15" s="355"/>
    </row>
    <row r="16" spans="1:14" ht="15">
      <c r="A16" s="345" t="s">
        <v>440</v>
      </c>
      <c r="B16" s="356" t="s">
        <v>129</v>
      </c>
      <c r="C16" s="357" t="s">
        <v>521</v>
      </c>
      <c r="D16" s="358">
        <f>'Publicação '!C19</f>
        <v>14114821.800000001</v>
      </c>
      <c r="E16" s="359">
        <v>0</v>
      </c>
      <c r="F16" s="360">
        <f t="shared" si="0"/>
        <v>14114821.800000001</v>
      </c>
      <c r="G16" s="358">
        <f>'Publicação '!I19</f>
        <v>123877.8066336</v>
      </c>
      <c r="H16" s="351">
        <f>'Publicação '!K19</f>
        <v>494808.49999999988</v>
      </c>
      <c r="I16" s="361">
        <v>2.4559790000000001E-2</v>
      </c>
      <c r="J16" s="358">
        <f>ROYALTIES!B11</f>
        <v>308670.53000000003</v>
      </c>
      <c r="K16" s="362">
        <f>'Publicação '!M19</f>
        <v>0</v>
      </c>
      <c r="L16" s="354">
        <f>'Publicação '!N19</f>
        <v>0</v>
      </c>
      <c r="N16" s="355"/>
    </row>
    <row r="17" spans="1:14" ht="15">
      <c r="A17" s="345" t="s">
        <v>441</v>
      </c>
      <c r="B17" s="356" t="s">
        <v>130</v>
      </c>
      <c r="C17" s="357" t="s">
        <v>522</v>
      </c>
      <c r="D17" s="358">
        <f>'Publicação '!C20</f>
        <v>1207605.57</v>
      </c>
      <c r="E17" s="359">
        <v>0</v>
      </c>
      <c r="F17" s="360">
        <f t="shared" si="0"/>
        <v>1207605.57</v>
      </c>
      <c r="G17" s="358">
        <f>'Publicação '!I20</f>
        <v>15007.783555199998</v>
      </c>
      <c r="H17" s="351">
        <f>'Publicação '!K20</f>
        <v>29112.629999999997</v>
      </c>
      <c r="I17" s="361">
        <v>4.4565500000000001E-3</v>
      </c>
      <c r="J17" s="358">
        <f>ROYALTIES!B12</f>
        <v>26408.57</v>
      </c>
      <c r="K17" s="362">
        <f>'Publicação '!M20</f>
        <v>0</v>
      </c>
      <c r="L17" s="354">
        <f>'Publicação '!N20</f>
        <v>0</v>
      </c>
      <c r="N17" s="355"/>
    </row>
    <row r="18" spans="1:14" ht="15">
      <c r="A18" s="345" t="s">
        <v>442</v>
      </c>
      <c r="B18" s="356" t="s">
        <v>131</v>
      </c>
      <c r="C18" s="357" t="s">
        <v>523</v>
      </c>
      <c r="D18" s="358">
        <f>'Publicação '!C21</f>
        <v>2210216.34</v>
      </c>
      <c r="E18" s="359">
        <v>0</v>
      </c>
      <c r="F18" s="360">
        <f t="shared" si="0"/>
        <v>2210216.34</v>
      </c>
      <c r="G18" s="358">
        <f>'Publicação '!I21</f>
        <v>25733.685361599997</v>
      </c>
      <c r="H18" s="351">
        <f>'Publicação '!K21</f>
        <v>266303.78999999998</v>
      </c>
      <c r="I18" s="361">
        <v>1.0164370000000001E-2</v>
      </c>
      <c r="J18" s="358">
        <f>ROYALTIES!B13</f>
        <v>48334.2</v>
      </c>
      <c r="K18" s="362">
        <f>'Publicação '!M21</f>
        <v>0</v>
      </c>
      <c r="L18" s="354">
        <f>'Publicação '!N21</f>
        <v>0</v>
      </c>
      <c r="N18" s="355"/>
    </row>
    <row r="19" spans="1:14" ht="15">
      <c r="A19" s="345" t="s">
        <v>443</v>
      </c>
      <c r="B19" s="356" t="s">
        <v>132</v>
      </c>
      <c r="C19" s="357" t="s">
        <v>524</v>
      </c>
      <c r="D19" s="358">
        <f>'Publicação '!C22</f>
        <v>3294825.0500000003</v>
      </c>
      <c r="E19" s="359">
        <v>0</v>
      </c>
      <c r="F19" s="360">
        <f t="shared" si="0"/>
        <v>3294825.0500000003</v>
      </c>
      <c r="G19" s="358">
        <f>'Publicação '!I22</f>
        <v>43624.319995199992</v>
      </c>
      <c r="H19" s="351">
        <f>'Publicação '!K22</f>
        <v>250240.09999999998</v>
      </c>
      <c r="I19" s="361">
        <v>1.3139120000000001E-2</v>
      </c>
      <c r="J19" s="358">
        <f>ROYALTIES!B14</f>
        <v>72053.010000000009</v>
      </c>
      <c r="K19" s="362">
        <f>'Publicação '!M22</f>
        <v>0</v>
      </c>
      <c r="L19" s="354">
        <f>'Publicação '!N22</f>
        <v>0</v>
      </c>
      <c r="N19" s="355"/>
    </row>
    <row r="20" spans="1:14" ht="15">
      <c r="A20" s="345" t="s">
        <v>444</v>
      </c>
      <c r="B20" s="356" t="s">
        <v>133</v>
      </c>
      <c r="C20" s="357" t="s">
        <v>525</v>
      </c>
      <c r="D20" s="358">
        <f>'Publicação '!C23</f>
        <v>1561687.4500000002</v>
      </c>
      <c r="E20" s="359">
        <v>0</v>
      </c>
      <c r="F20" s="360">
        <f t="shared" si="0"/>
        <v>1561687.4500000002</v>
      </c>
      <c r="G20" s="358">
        <f>'Publicação '!I23</f>
        <v>16745.973176</v>
      </c>
      <c r="H20" s="351">
        <f>'Publicação '!K23</f>
        <v>60460.560000000012</v>
      </c>
      <c r="I20" s="361">
        <v>5.62716E-3</v>
      </c>
      <c r="J20" s="358">
        <f>ROYALTIES!B15</f>
        <v>34151.83</v>
      </c>
      <c r="K20" s="362">
        <f>'Publicação '!M23</f>
        <v>0</v>
      </c>
      <c r="L20" s="354">
        <f>'Publicação '!N23</f>
        <v>0</v>
      </c>
      <c r="N20" s="355"/>
    </row>
    <row r="21" spans="1:14" ht="15">
      <c r="A21" s="345">
        <v>3201100</v>
      </c>
      <c r="B21" s="356" t="s">
        <v>134</v>
      </c>
      <c r="C21" s="357" t="s">
        <v>526</v>
      </c>
      <c r="D21" s="358">
        <f>'Publicação '!C24</f>
        <v>622438.70000000007</v>
      </c>
      <c r="E21" s="359">
        <v>0</v>
      </c>
      <c r="F21" s="360">
        <f t="shared" si="0"/>
        <v>622438.70000000007</v>
      </c>
      <c r="G21" s="358">
        <f>'Publicação '!I24</f>
        <v>7461.4969087999989</v>
      </c>
      <c r="H21" s="351">
        <f>'Publicação '!K24</f>
        <v>284325.94999999995</v>
      </c>
      <c r="I21" s="361">
        <v>4.4192499999999996E-3</v>
      </c>
      <c r="J21" s="358">
        <f>ROYALTIES!B16</f>
        <v>13611.82</v>
      </c>
      <c r="K21" s="362">
        <f>'Publicação '!M24</f>
        <v>0</v>
      </c>
      <c r="L21" s="354">
        <f>'Publicação '!N24</f>
        <v>0</v>
      </c>
      <c r="N21" s="355"/>
    </row>
    <row r="22" spans="1:14" ht="15">
      <c r="A22" s="345" t="s">
        <v>445</v>
      </c>
      <c r="B22" s="356" t="s">
        <v>135</v>
      </c>
      <c r="C22" s="357" t="s">
        <v>527</v>
      </c>
      <c r="D22" s="358">
        <f>'Publicação '!C25</f>
        <v>1550505.9299999997</v>
      </c>
      <c r="E22" s="359">
        <v>0</v>
      </c>
      <c r="F22" s="360">
        <f t="shared" si="0"/>
        <v>1550505.9299999997</v>
      </c>
      <c r="G22" s="358">
        <f>'Publicação '!I25</f>
        <v>17848.239764800001</v>
      </c>
      <c r="H22" s="351">
        <f>'Publicação '!K25</f>
        <v>45281.959999999992</v>
      </c>
      <c r="I22" s="361">
        <v>4.7754299999999998E-3</v>
      </c>
      <c r="J22" s="358">
        <f>ROYALTIES!B17</f>
        <v>33907.299999999996</v>
      </c>
      <c r="K22" s="362">
        <f>'Publicação '!M25</f>
        <v>0</v>
      </c>
      <c r="L22" s="354">
        <f>'Publicação '!N25</f>
        <v>0</v>
      </c>
      <c r="N22" s="355"/>
    </row>
    <row r="23" spans="1:14" ht="15">
      <c r="A23" s="345" t="s">
        <v>446</v>
      </c>
      <c r="B23" s="356" t="s">
        <v>136</v>
      </c>
      <c r="C23" s="357" t="s">
        <v>528</v>
      </c>
      <c r="D23" s="358">
        <f>'Publicação '!C26</f>
        <v>10275828.829999998</v>
      </c>
      <c r="E23" s="359">
        <v>0</v>
      </c>
      <c r="F23" s="360">
        <f t="shared" si="0"/>
        <v>10275828.829999998</v>
      </c>
      <c r="G23" s="358">
        <f>'Publicação '!I26</f>
        <v>131932.83170559999</v>
      </c>
      <c r="H23" s="351">
        <f>'Publicação '!K26</f>
        <v>1283609.1000000001</v>
      </c>
      <c r="I23" s="361">
        <v>4.3240090000000002E-2</v>
      </c>
      <c r="J23" s="358">
        <f>ROYALTIES!B18</f>
        <v>224717.36000000002</v>
      </c>
      <c r="K23" s="362">
        <f>'Publicação '!M26</f>
        <v>0</v>
      </c>
      <c r="L23" s="354">
        <f>'Publicação '!N26</f>
        <v>0</v>
      </c>
      <c r="N23" s="355"/>
    </row>
    <row r="24" spans="1:14" ht="15">
      <c r="A24" s="345" t="s">
        <v>447</v>
      </c>
      <c r="B24" s="356" t="s">
        <v>137</v>
      </c>
      <c r="C24" s="357" t="s">
        <v>529</v>
      </c>
      <c r="D24" s="358">
        <f>'Publicação '!C27</f>
        <v>26544959.339999996</v>
      </c>
      <c r="E24" s="359">
        <v>0</v>
      </c>
      <c r="F24" s="360">
        <f t="shared" si="0"/>
        <v>26544959.339999996</v>
      </c>
      <c r="G24" s="358">
        <f>'Publicação '!I27</f>
        <v>309440.14737119997</v>
      </c>
      <c r="H24" s="351">
        <f>'Publicação '!K27</f>
        <v>3679060.4400000004</v>
      </c>
      <c r="I24" s="361">
        <v>6.5112489999999995E-2</v>
      </c>
      <c r="J24" s="358">
        <f>ROYALTIES!B19</f>
        <v>580499.49</v>
      </c>
      <c r="K24" s="362">
        <f>'Publicação '!M27</f>
        <v>0</v>
      </c>
      <c r="L24" s="354">
        <f>'Publicação '!N27</f>
        <v>0</v>
      </c>
      <c r="N24" s="355"/>
    </row>
    <row r="25" spans="1:14" ht="15">
      <c r="A25" s="345" t="s">
        <v>448</v>
      </c>
      <c r="B25" s="356" t="s">
        <v>138</v>
      </c>
      <c r="C25" s="357" t="s">
        <v>530</v>
      </c>
      <c r="D25" s="358">
        <f>'Publicação '!C28</f>
        <v>3089830.29</v>
      </c>
      <c r="E25" s="359">
        <v>0</v>
      </c>
      <c r="F25" s="360">
        <f t="shared" si="0"/>
        <v>3089830.29</v>
      </c>
      <c r="G25" s="358">
        <f>'Publicação '!I28</f>
        <v>38112.987051199998</v>
      </c>
      <c r="H25" s="351">
        <f>'Publicação '!K28</f>
        <v>350754.81</v>
      </c>
      <c r="I25" s="361">
        <v>1.1645610000000001E-2</v>
      </c>
      <c r="J25" s="358">
        <f>ROYALTIES!B20</f>
        <v>67570.069999999992</v>
      </c>
      <c r="K25" s="362">
        <f>'Publicação '!M28</f>
        <v>0</v>
      </c>
      <c r="L25" s="354">
        <f>'Publicação '!N28</f>
        <v>0</v>
      </c>
      <c r="N25" s="355"/>
    </row>
    <row r="26" spans="1:14" ht="15">
      <c r="A26" s="345" t="s">
        <v>449</v>
      </c>
      <c r="B26" s="356" t="s">
        <v>139</v>
      </c>
      <c r="C26" s="357" t="s">
        <v>531</v>
      </c>
      <c r="D26" s="358">
        <f>'Publicação '!C29</f>
        <v>7979887.3900000015</v>
      </c>
      <c r="E26" s="359">
        <v>0</v>
      </c>
      <c r="F26" s="360">
        <f t="shared" si="0"/>
        <v>7979887.3900000015</v>
      </c>
      <c r="G26" s="358">
        <f>'Publicação '!I29</f>
        <v>94625.347161600017</v>
      </c>
      <c r="H26" s="351">
        <f>'Publicação '!K29</f>
        <v>736323.91999999981</v>
      </c>
      <c r="I26" s="361">
        <v>2.8753029999999999E-2</v>
      </c>
      <c r="J26" s="358">
        <f>ROYALTIES!B21</f>
        <v>174508.48</v>
      </c>
      <c r="K26" s="362">
        <f>'Publicação '!M29</f>
        <v>0</v>
      </c>
      <c r="L26" s="354">
        <f>'Publicação '!N29</f>
        <v>0</v>
      </c>
      <c r="N26" s="355"/>
    </row>
    <row r="27" spans="1:14" ht="15">
      <c r="A27" s="345" t="s">
        <v>450</v>
      </c>
      <c r="B27" s="356" t="s">
        <v>140</v>
      </c>
      <c r="C27" s="357" t="s">
        <v>532</v>
      </c>
      <c r="D27" s="358">
        <f>'Publicação '!C30</f>
        <v>2836382.2</v>
      </c>
      <c r="E27" s="359">
        <v>0</v>
      </c>
      <c r="F27" s="360">
        <f t="shared" si="0"/>
        <v>2836382.2</v>
      </c>
      <c r="G27" s="358">
        <f>'Publicação '!I30</f>
        <v>33661.525827200006</v>
      </c>
      <c r="H27" s="351">
        <f>'Publicação '!K30</f>
        <v>86884.6</v>
      </c>
      <c r="I27" s="361">
        <v>9.6429399999999992E-3</v>
      </c>
      <c r="J27" s="358">
        <f>ROYALTIES!B22</f>
        <v>62027.54</v>
      </c>
      <c r="K27" s="362">
        <f>'Publicação '!M30</f>
        <v>0</v>
      </c>
      <c r="L27" s="354">
        <f>'Publicação '!N30</f>
        <v>0</v>
      </c>
      <c r="N27" s="355"/>
    </row>
    <row r="28" spans="1:14" ht="15">
      <c r="A28" s="345" t="s">
        <v>451</v>
      </c>
      <c r="B28" s="356" t="s">
        <v>141</v>
      </c>
      <c r="C28" s="357" t="s">
        <v>533</v>
      </c>
      <c r="D28" s="358">
        <f>'Publicação '!C31</f>
        <v>1509506.9600000002</v>
      </c>
      <c r="E28" s="359">
        <v>0</v>
      </c>
      <c r="F28" s="360">
        <f t="shared" si="0"/>
        <v>1509506.9600000002</v>
      </c>
      <c r="G28" s="358">
        <f>'Publicação '!I31</f>
        <v>19501.639648</v>
      </c>
      <c r="H28" s="351">
        <f>'Publicação '!K31</f>
        <v>61454.400000000001</v>
      </c>
      <c r="I28" s="361">
        <v>4.6387499999999996E-3</v>
      </c>
      <c r="J28" s="358">
        <f>ROYALTIES!B23</f>
        <v>33010.71</v>
      </c>
      <c r="K28" s="362">
        <f>'Publicação '!M31</f>
        <v>0</v>
      </c>
      <c r="L28" s="354">
        <f>'Publicação '!N31</f>
        <v>0</v>
      </c>
      <c r="N28" s="355"/>
    </row>
    <row r="29" spans="1:14" ht="15">
      <c r="A29" s="345" t="s">
        <v>452</v>
      </c>
      <c r="B29" s="356" t="s">
        <v>142</v>
      </c>
      <c r="C29" s="357" t="s">
        <v>534</v>
      </c>
      <c r="D29" s="358">
        <f>'Publicação '!C32</f>
        <v>670891.97</v>
      </c>
      <c r="E29" s="359">
        <v>0</v>
      </c>
      <c r="F29" s="360">
        <f t="shared" si="0"/>
        <v>670891.97</v>
      </c>
      <c r="G29" s="358">
        <f>'Publicação '!I32</f>
        <v>7715.8661216</v>
      </c>
      <c r="H29" s="351">
        <f>'Publicação '!K32</f>
        <v>15051.33</v>
      </c>
      <c r="I29" s="361">
        <v>2.9743600000000001E-3</v>
      </c>
      <c r="J29" s="358">
        <f>ROYALTIES!B24</f>
        <v>14671.42</v>
      </c>
      <c r="K29" s="362">
        <f>'Publicação '!M32</f>
        <v>0</v>
      </c>
      <c r="L29" s="354">
        <f>'Publicação '!N32</f>
        <v>0</v>
      </c>
      <c r="N29" s="355"/>
    </row>
    <row r="30" spans="1:14" ht="15">
      <c r="A30" s="345" t="s">
        <v>453</v>
      </c>
      <c r="B30" s="356" t="s">
        <v>143</v>
      </c>
      <c r="C30" s="357" t="s">
        <v>535</v>
      </c>
      <c r="D30" s="358">
        <f>'Publicação '!C33</f>
        <v>4498703.459999999</v>
      </c>
      <c r="E30" s="359">
        <v>0</v>
      </c>
      <c r="F30" s="360">
        <f t="shared" si="0"/>
        <v>4498703.459999999</v>
      </c>
      <c r="G30" s="358">
        <f>'Publicação '!I33</f>
        <v>53756.6936384</v>
      </c>
      <c r="H30" s="351">
        <f>'Publicação '!K33</f>
        <v>281057.53000000003</v>
      </c>
      <c r="I30" s="361">
        <v>1.078283E-2</v>
      </c>
      <c r="J30" s="358">
        <f>ROYALTIES!B25</f>
        <v>98380.069999999992</v>
      </c>
      <c r="K30" s="362">
        <f>'Publicação '!M33</f>
        <v>0</v>
      </c>
      <c r="L30" s="354">
        <f>'Publicação '!N33</f>
        <v>0</v>
      </c>
      <c r="N30" s="355"/>
    </row>
    <row r="31" spans="1:14" ht="15">
      <c r="A31" s="345" t="s">
        <v>454</v>
      </c>
      <c r="B31" s="356" t="s">
        <v>144</v>
      </c>
      <c r="C31" s="357" t="s">
        <v>536</v>
      </c>
      <c r="D31" s="358">
        <f>'Publicação '!C34</f>
        <v>961611.83999999985</v>
      </c>
      <c r="E31" s="359">
        <v>0</v>
      </c>
      <c r="F31" s="360">
        <f t="shared" si="0"/>
        <v>961611.83999999985</v>
      </c>
      <c r="G31" s="358">
        <f>'Publicação '!I34</f>
        <v>11446.614576</v>
      </c>
      <c r="H31" s="351">
        <f>'Publicação '!K34</f>
        <v>79601.72</v>
      </c>
      <c r="I31" s="361">
        <v>3.17169E-3</v>
      </c>
      <c r="J31" s="358">
        <f>ROYALTIES!B26</f>
        <v>21029.05</v>
      </c>
      <c r="K31" s="362">
        <f>'Publicação '!M34</f>
        <v>0</v>
      </c>
      <c r="L31" s="354">
        <f>'Publicação '!N34</f>
        <v>0</v>
      </c>
      <c r="N31" s="355"/>
    </row>
    <row r="32" spans="1:14" ht="15">
      <c r="A32" s="345" t="s">
        <v>455</v>
      </c>
      <c r="B32" s="356" t="s">
        <v>145</v>
      </c>
      <c r="C32" s="357">
        <v>7.0000000000000001E-3</v>
      </c>
      <c r="D32" s="358">
        <f>'Publicação '!C35</f>
        <v>2609024.38</v>
      </c>
      <c r="E32" s="359">
        <v>0</v>
      </c>
      <c r="F32" s="360">
        <f t="shared" si="0"/>
        <v>2609024.38</v>
      </c>
      <c r="G32" s="358">
        <f>'Publicação '!I35</f>
        <v>29422.038947199995</v>
      </c>
      <c r="H32" s="351">
        <f>'Publicação '!K35</f>
        <v>61207.399999999994</v>
      </c>
      <c r="I32" s="361">
        <v>8.16273E-3</v>
      </c>
      <c r="J32" s="358">
        <f>ROYALTIES!B27</f>
        <v>57055.549999999996</v>
      </c>
      <c r="K32" s="362">
        <f>'Publicação '!M35</f>
        <v>0</v>
      </c>
      <c r="L32" s="354">
        <f>'Publicação '!N35</f>
        <v>0</v>
      </c>
      <c r="N32" s="355"/>
    </row>
    <row r="33" spans="1:14" ht="15">
      <c r="A33" s="345" t="s">
        <v>456</v>
      </c>
      <c r="B33" s="356" t="s">
        <v>146</v>
      </c>
      <c r="C33" s="357" t="s">
        <v>537</v>
      </c>
      <c r="D33" s="358">
        <f>'Publicação '!C36</f>
        <v>998883.61</v>
      </c>
      <c r="E33" s="359">
        <v>0</v>
      </c>
      <c r="F33" s="360">
        <f t="shared" si="0"/>
        <v>998883.61</v>
      </c>
      <c r="G33" s="358">
        <f>'Publicação '!I36</f>
        <v>12124.932476799999</v>
      </c>
      <c r="H33" s="351">
        <f>'Publicação '!K36</f>
        <v>57958.899999999994</v>
      </c>
      <c r="I33" s="361">
        <v>6.97228E-3</v>
      </c>
      <c r="J33" s="358">
        <f>ROYALTIES!B28</f>
        <v>21844.129999999997</v>
      </c>
      <c r="K33" s="362">
        <f>'Publicação '!M36</f>
        <v>0</v>
      </c>
      <c r="L33" s="354">
        <f>'Publicação '!N36</f>
        <v>0</v>
      </c>
      <c r="N33" s="355"/>
    </row>
    <row r="34" spans="1:14" ht="15">
      <c r="A34" s="345" t="s">
        <v>457</v>
      </c>
      <c r="B34" s="356" t="s">
        <v>26</v>
      </c>
      <c r="C34" s="357" t="s">
        <v>538</v>
      </c>
      <c r="D34" s="358">
        <f>'Publicação '!C37</f>
        <v>1822589.87</v>
      </c>
      <c r="E34" s="359">
        <v>0</v>
      </c>
      <c r="F34" s="360">
        <f t="shared" si="0"/>
        <v>1822589.87</v>
      </c>
      <c r="G34" s="358">
        <f>'Publicação '!I37</f>
        <v>18568.952534399999</v>
      </c>
      <c r="H34" s="351">
        <f>'Publicação '!K37</f>
        <v>97847.84</v>
      </c>
      <c r="I34" s="361">
        <v>4.5177200000000002E-3</v>
      </c>
      <c r="J34" s="358">
        <f>ROYALTIES!B29</f>
        <v>39857.379999999997</v>
      </c>
      <c r="K34" s="362">
        <f>'Publicação '!M37</f>
        <v>0</v>
      </c>
      <c r="L34" s="354">
        <f>'Publicação '!N37</f>
        <v>0</v>
      </c>
      <c r="N34" s="355"/>
    </row>
    <row r="35" spans="1:14" ht="15">
      <c r="A35" s="345" t="s">
        <v>458</v>
      </c>
      <c r="B35" s="356" t="s">
        <v>147</v>
      </c>
      <c r="C35" s="357" t="s">
        <v>539</v>
      </c>
      <c r="D35" s="358">
        <f>'Publicação '!C38</f>
        <v>1256058.8899999999</v>
      </c>
      <c r="E35" s="359">
        <v>0</v>
      </c>
      <c r="F35" s="360">
        <f t="shared" si="0"/>
        <v>1256058.8899999999</v>
      </c>
      <c r="G35" s="358">
        <f>'Publicação '!I38</f>
        <v>15219.7578992</v>
      </c>
      <c r="H35" s="351">
        <f>'Publicação '!K38</f>
        <v>189769.64</v>
      </c>
      <c r="I35" s="361">
        <v>9.8907400000000003E-3</v>
      </c>
      <c r="J35" s="358">
        <f>ROYALTIES!B30</f>
        <v>27468.170000000002</v>
      </c>
      <c r="K35" s="362">
        <f>'Publicação '!M38</f>
        <v>0</v>
      </c>
      <c r="L35" s="354">
        <f>'Publicação '!N38</f>
        <v>0</v>
      </c>
      <c r="N35" s="355"/>
    </row>
    <row r="36" spans="1:14" ht="15">
      <c r="A36" s="345" t="s">
        <v>459</v>
      </c>
      <c r="B36" s="356" t="s">
        <v>148</v>
      </c>
      <c r="C36" s="357" t="s">
        <v>540</v>
      </c>
      <c r="D36" s="358">
        <f>'Publicação '!C39</f>
        <v>2702203.8</v>
      </c>
      <c r="E36" s="359">
        <v>0</v>
      </c>
      <c r="F36" s="360">
        <f t="shared" si="0"/>
        <v>2702203.8</v>
      </c>
      <c r="G36" s="358">
        <f>'Publicação '!I39</f>
        <v>34424.633465600004</v>
      </c>
      <c r="H36" s="351">
        <f>'Publicação '!K39</f>
        <v>1466048.5500000003</v>
      </c>
      <c r="I36" s="361">
        <v>2.9355969999999999E-2</v>
      </c>
      <c r="J36" s="358">
        <f>ROYALTIES!B31</f>
        <v>59093.25</v>
      </c>
      <c r="K36" s="362">
        <f>'Publicação '!M39</f>
        <v>0</v>
      </c>
      <c r="L36" s="354">
        <f>'Publicação '!N39</f>
        <v>0</v>
      </c>
      <c r="N36" s="355"/>
    </row>
    <row r="37" spans="1:14" ht="15">
      <c r="A37" s="345" t="s">
        <v>460</v>
      </c>
      <c r="B37" s="356" t="s">
        <v>149</v>
      </c>
      <c r="C37" s="357" t="s">
        <v>541</v>
      </c>
      <c r="D37" s="358">
        <f>'Publicação '!C40</f>
        <v>1241150.1699999997</v>
      </c>
      <c r="E37" s="359">
        <v>0</v>
      </c>
      <c r="F37" s="360">
        <f t="shared" si="0"/>
        <v>1241150.1699999997</v>
      </c>
      <c r="G37" s="358">
        <f>'Publicação '!I40</f>
        <v>15770.891193599999</v>
      </c>
      <c r="H37" s="351">
        <f>'Publicação '!K40</f>
        <v>162222.51999999999</v>
      </c>
      <c r="I37" s="361">
        <v>8.7034399999999998E-3</v>
      </c>
      <c r="J37" s="358">
        <f>ROYALTIES!B32</f>
        <v>27142.14</v>
      </c>
      <c r="K37" s="362">
        <f>'Publicação '!M40</f>
        <v>0</v>
      </c>
      <c r="L37" s="354">
        <f>'Publicação '!N40</f>
        <v>0</v>
      </c>
      <c r="N37" s="355"/>
    </row>
    <row r="38" spans="1:14" ht="15">
      <c r="A38" s="345" t="s">
        <v>461</v>
      </c>
      <c r="B38" s="356" t="s">
        <v>150</v>
      </c>
      <c r="C38" s="357" t="s">
        <v>542</v>
      </c>
      <c r="D38" s="358">
        <f>'Publicação '!C41</f>
        <v>846069.35000000009</v>
      </c>
      <c r="E38" s="359">
        <v>0</v>
      </c>
      <c r="F38" s="360">
        <f t="shared" si="0"/>
        <v>846069.35000000009</v>
      </c>
      <c r="G38" s="358">
        <f>'Publicação '!I41</f>
        <v>9793.2146928000002</v>
      </c>
      <c r="H38" s="351">
        <f>'Publicação '!K41</f>
        <v>108715.65999999997</v>
      </c>
      <c r="I38" s="361">
        <v>4.6108399999999997E-3</v>
      </c>
      <c r="J38" s="358">
        <f>ROYALTIES!B33</f>
        <v>18502.3</v>
      </c>
      <c r="K38" s="362">
        <f>'Publicação '!M41</f>
        <v>0</v>
      </c>
      <c r="L38" s="354">
        <f>'Publicação '!N41</f>
        <v>0</v>
      </c>
      <c r="N38" s="355"/>
    </row>
    <row r="39" spans="1:14" ht="15">
      <c r="A39" s="345" t="s">
        <v>462</v>
      </c>
      <c r="B39" s="356" t="s">
        <v>151</v>
      </c>
      <c r="C39" s="357" t="s">
        <v>543</v>
      </c>
      <c r="D39" s="358">
        <f>'Publicação '!C42</f>
        <v>872159.57999999984</v>
      </c>
      <c r="E39" s="359">
        <v>0</v>
      </c>
      <c r="F39" s="360">
        <f t="shared" si="0"/>
        <v>872159.57999999984</v>
      </c>
      <c r="G39" s="358">
        <f>'Publicação '!I42</f>
        <v>10301.953118399999</v>
      </c>
      <c r="H39" s="351">
        <f>'Publicação '!K42</f>
        <v>31832.179999999997</v>
      </c>
      <c r="I39" s="361">
        <v>3.5530499999999999E-3</v>
      </c>
      <c r="J39" s="358">
        <f>ROYALTIES!B34</f>
        <v>19072.86</v>
      </c>
      <c r="K39" s="362">
        <f>'Publicação '!M42</f>
        <v>0</v>
      </c>
      <c r="L39" s="354">
        <f>'Publicação '!N42</f>
        <v>0</v>
      </c>
      <c r="N39" s="355"/>
    </row>
    <row r="40" spans="1:14" ht="15">
      <c r="A40" s="345" t="s">
        <v>463</v>
      </c>
      <c r="B40" s="356" t="s">
        <v>152</v>
      </c>
      <c r="C40" s="357" t="s">
        <v>544</v>
      </c>
      <c r="D40" s="358">
        <f>'Publicação '!C43</f>
        <v>1069699.98</v>
      </c>
      <c r="E40" s="359">
        <v>0</v>
      </c>
      <c r="F40" s="360">
        <f t="shared" si="0"/>
        <v>1069699.98</v>
      </c>
      <c r="G40" s="358">
        <f>'Publicação '!I43</f>
        <v>13354.383672</v>
      </c>
      <c r="H40" s="351">
        <f>'Publicação '!K43</f>
        <v>314445.65000000002</v>
      </c>
      <c r="I40" s="361">
        <v>5.3674400000000002E-3</v>
      </c>
      <c r="J40" s="358">
        <f>ROYALTIES!B35</f>
        <v>23392.77</v>
      </c>
      <c r="K40" s="362">
        <f>'Publicação '!M43</f>
        <v>0</v>
      </c>
      <c r="L40" s="354">
        <f>'Publicação '!N43</f>
        <v>0</v>
      </c>
      <c r="N40" s="355"/>
    </row>
    <row r="41" spans="1:14" ht="15">
      <c r="A41" s="345" t="s">
        <v>464</v>
      </c>
      <c r="B41" s="356" t="s">
        <v>153</v>
      </c>
      <c r="C41" s="357" t="s">
        <v>545</v>
      </c>
      <c r="D41" s="358">
        <f>'Publicação '!C44</f>
        <v>1073427.1599999997</v>
      </c>
      <c r="E41" s="359">
        <v>0</v>
      </c>
      <c r="F41" s="360">
        <f t="shared" si="0"/>
        <v>1073427.1599999997</v>
      </c>
      <c r="G41" s="358">
        <f>'Publicação '!I44</f>
        <v>12676.065771199999</v>
      </c>
      <c r="H41" s="351">
        <f>'Publicação '!K44</f>
        <v>82463.790000000008</v>
      </c>
      <c r="I41" s="361">
        <v>5.6404699999999999E-3</v>
      </c>
      <c r="J41" s="358">
        <f>ROYALTIES!B36</f>
        <v>23474.29</v>
      </c>
      <c r="K41" s="362">
        <f>'Publicação '!M44</f>
        <v>0</v>
      </c>
      <c r="L41" s="354">
        <f>'Publicação '!N44</f>
        <v>0</v>
      </c>
      <c r="N41" s="355"/>
    </row>
    <row r="42" spans="1:14" ht="15">
      <c r="A42" s="345" t="s">
        <v>465</v>
      </c>
      <c r="B42" s="356" t="s">
        <v>154</v>
      </c>
      <c r="C42" s="357" t="s">
        <v>546</v>
      </c>
      <c r="D42" s="358">
        <f>'Publicação '!C45</f>
        <v>1259786.0599999996</v>
      </c>
      <c r="E42" s="359">
        <v>0</v>
      </c>
      <c r="F42" s="360">
        <f t="shared" si="0"/>
        <v>1259786.0599999996</v>
      </c>
      <c r="G42" s="358">
        <f>'Publicação '!I45</f>
        <v>13523.9631472</v>
      </c>
      <c r="H42" s="351">
        <f>'Publicação '!K45</f>
        <v>45650.160000000011</v>
      </c>
      <c r="I42" s="361">
        <v>5.62468E-3</v>
      </c>
      <c r="J42" s="358">
        <f>ROYALTIES!B37</f>
        <v>27549.69</v>
      </c>
      <c r="K42" s="362">
        <f>'Publicação '!M45</f>
        <v>0</v>
      </c>
      <c r="L42" s="354">
        <f>'Publicação '!N45</f>
        <v>0</v>
      </c>
      <c r="N42" s="355"/>
    </row>
    <row r="43" spans="1:14" ht="15">
      <c r="A43" s="345" t="s">
        <v>466</v>
      </c>
      <c r="B43" s="356" t="s">
        <v>155</v>
      </c>
      <c r="C43" s="357" t="s">
        <v>547</v>
      </c>
      <c r="D43" s="358">
        <f>'Publicação '!C46</f>
        <v>14181911.02</v>
      </c>
      <c r="E43" s="359">
        <v>0</v>
      </c>
      <c r="F43" s="360">
        <f t="shared" si="0"/>
        <v>14181911.02</v>
      </c>
      <c r="G43" s="358">
        <f>'Publicação '!I46</f>
        <v>104079.402904</v>
      </c>
      <c r="H43" s="351">
        <f>'Publicação '!K46</f>
        <v>188241.93999999997</v>
      </c>
      <c r="I43" s="361">
        <v>1.2129249999999999E-2</v>
      </c>
      <c r="J43" s="358">
        <f>ROYALTIES!B38</f>
        <v>310137.67</v>
      </c>
      <c r="K43" s="362">
        <f>'Publicação '!M46</f>
        <v>0</v>
      </c>
      <c r="L43" s="354">
        <f>'Publicação '!N46</f>
        <v>0</v>
      </c>
      <c r="N43" s="355"/>
    </row>
    <row r="44" spans="1:14" ht="15">
      <c r="A44" s="345" t="s">
        <v>467</v>
      </c>
      <c r="B44" s="356" t="s">
        <v>156</v>
      </c>
      <c r="C44" s="357" t="s">
        <v>548</v>
      </c>
      <c r="D44" s="358">
        <f>'Publicação '!C47</f>
        <v>1315693.7400000002</v>
      </c>
      <c r="E44" s="359">
        <v>0</v>
      </c>
      <c r="F44" s="360">
        <f t="shared" si="0"/>
        <v>1315693.7400000002</v>
      </c>
      <c r="G44" s="358">
        <f>'Publicação '!I47</f>
        <v>14753.414342399998</v>
      </c>
      <c r="H44" s="351">
        <f>'Publicação '!K47</f>
        <v>56979.33</v>
      </c>
      <c r="I44" s="361">
        <v>4.4639900000000001E-3</v>
      </c>
      <c r="J44" s="358">
        <f>ROYALTIES!B39</f>
        <v>28772.3</v>
      </c>
      <c r="K44" s="362">
        <f>'Publicação '!M47</f>
        <v>0</v>
      </c>
      <c r="L44" s="354">
        <f>'Publicação '!N47</f>
        <v>0</v>
      </c>
      <c r="N44" s="355"/>
    </row>
    <row r="45" spans="1:14" ht="15">
      <c r="A45" s="345" t="s">
        <v>468</v>
      </c>
      <c r="B45" s="356" t="s">
        <v>157</v>
      </c>
      <c r="C45" s="357" t="s">
        <v>549</v>
      </c>
      <c r="D45" s="358">
        <f>'Publicação '!C48</f>
        <v>1748046.32</v>
      </c>
      <c r="E45" s="359">
        <v>0</v>
      </c>
      <c r="F45" s="360">
        <f t="shared" si="0"/>
        <v>1748046.32</v>
      </c>
      <c r="G45" s="358">
        <f>'Publicação '!I48</f>
        <v>21027.854924799998</v>
      </c>
      <c r="H45" s="351">
        <f>'Publicação '!K48</f>
        <v>105434.93999999997</v>
      </c>
      <c r="I45" s="361">
        <v>9.1220999999999993E-3</v>
      </c>
      <c r="J45" s="358">
        <f>ROYALTIES!B40</f>
        <v>38227.22</v>
      </c>
      <c r="K45" s="362">
        <f>'Publicação '!M48</f>
        <v>0</v>
      </c>
      <c r="L45" s="354">
        <f>'Publicação '!N48</f>
        <v>0</v>
      </c>
      <c r="N45" s="355"/>
    </row>
    <row r="46" spans="1:14" ht="15">
      <c r="A46" s="345" t="s">
        <v>469</v>
      </c>
      <c r="B46" s="356" t="s">
        <v>35</v>
      </c>
      <c r="C46" s="357" t="s">
        <v>550</v>
      </c>
      <c r="D46" s="358">
        <f>'Publicação '!C49</f>
        <v>4002988.8399999994</v>
      </c>
      <c r="E46" s="359">
        <v>0</v>
      </c>
      <c r="F46" s="360">
        <f t="shared" si="0"/>
        <v>4002988.8399999994</v>
      </c>
      <c r="G46" s="358">
        <f>'Publicação '!I49</f>
        <v>36925.930724800004</v>
      </c>
      <c r="H46" s="351">
        <f>'Publicação '!K49</f>
        <v>120457.93</v>
      </c>
      <c r="I46" s="361">
        <v>9.8350499999999997E-3</v>
      </c>
      <c r="J46" s="358">
        <f>ROYALTIES!B41</f>
        <v>87539.520000000004</v>
      </c>
      <c r="K46" s="362">
        <f>'Publicação '!M49</f>
        <v>0</v>
      </c>
      <c r="L46" s="354">
        <f>'Publicação '!N49</f>
        <v>0</v>
      </c>
      <c r="N46" s="355"/>
    </row>
    <row r="47" spans="1:14" ht="15">
      <c r="A47" s="345" t="s">
        <v>470</v>
      </c>
      <c r="B47" s="363" t="s">
        <v>158</v>
      </c>
      <c r="C47" s="357" t="s">
        <v>551</v>
      </c>
      <c r="D47" s="358">
        <f>'Publicação '!C50</f>
        <v>749162.69000000006</v>
      </c>
      <c r="E47" s="359">
        <v>0</v>
      </c>
      <c r="F47" s="360">
        <f t="shared" si="0"/>
        <v>749162.69000000006</v>
      </c>
      <c r="G47" s="358">
        <f>'Publicação '!I50</f>
        <v>8902.9224479999993</v>
      </c>
      <c r="H47" s="351">
        <f>'Publicação '!K50</f>
        <v>30077.480000000007</v>
      </c>
      <c r="I47" s="361">
        <v>4.5915399999999999E-3</v>
      </c>
      <c r="J47" s="358">
        <f>ROYALTIES!B42</f>
        <v>16383.099999999999</v>
      </c>
      <c r="K47" s="362">
        <f>'Publicação '!M50</f>
        <v>0</v>
      </c>
      <c r="L47" s="354">
        <f>'Publicação '!N50</f>
        <v>0</v>
      </c>
      <c r="N47" s="355"/>
    </row>
    <row r="48" spans="1:14" s="364" customFormat="1" ht="15">
      <c r="A48" s="345" t="s">
        <v>471</v>
      </c>
      <c r="B48" s="356" t="s">
        <v>159</v>
      </c>
      <c r="C48" s="357" t="s">
        <v>552</v>
      </c>
      <c r="D48" s="358">
        <f>'Publicação '!C51</f>
        <v>1427509.03</v>
      </c>
      <c r="E48" s="359">
        <v>0</v>
      </c>
      <c r="F48" s="360">
        <f t="shared" si="0"/>
        <v>1427509.03</v>
      </c>
      <c r="G48" s="358">
        <f>'Publicação '!I51</f>
        <v>15346.9425056</v>
      </c>
      <c r="H48" s="351">
        <f>'Publicação '!K51</f>
        <v>96227.200000000012</v>
      </c>
      <c r="I48" s="361">
        <v>6.36339E-3</v>
      </c>
      <c r="J48" s="358">
        <f>ROYALTIES!B43</f>
        <v>31217.539999999997</v>
      </c>
      <c r="K48" s="362">
        <f>'Publicação '!M51</f>
        <v>0</v>
      </c>
      <c r="L48" s="354">
        <f>'Publicação '!N51</f>
        <v>0</v>
      </c>
      <c r="N48" s="365"/>
    </row>
    <row r="49" spans="1:14" ht="15">
      <c r="A49" s="345" t="s">
        <v>472</v>
      </c>
      <c r="B49" s="356" t="s">
        <v>160</v>
      </c>
      <c r="C49" s="357" t="s">
        <v>553</v>
      </c>
      <c r="D49" s="358">
        <f>'Publicação '!C52</f>
        <v>1405145.9800000004</v>
      </c>
      <c r="E49" s="359">
        <v>0</v>
      </c>
      <c r="F49" s="360">
        <f t="shared" si="0"/>
        <v>1405145.9800000004</v>
      </c>
      <c r="G49" s="358">
        <f>'Publicação '!I52</f>
        <v>15813.286062399999</v>
      </c>
      <c r="H49" s="351">
        <f>'Publicação '!K52</f>
        <v>75705.8</v>
      </c>
      <c r="I49" s="361">
        <v>4.5288100000000003E-3</v>
      </c>
      <c r="J49" s="358">
        <f>ROYALTIES!B44</f>
        <v>30728.49</v>
      </c>
      <c r="K49" s="362">
        <f>'Publicação '!M52</f>
        <v>0</v>
      </c>
      <c r="L49" s="354">
        <f>'Publicação '!N52</f>
        <v>0</v>
      </c>
      <c r="N49" s="355"/>
    </row>
    <row r="50" spans="1:14" ht="15">
      <c r="A50" s="345" t="s">
        <v>473</v>
      </c>
      <c r="B50" s="356" t="s">
        <v>161</v>
      </c>
      <c r="C50" s="357">
        <v>4.65E-2</v>
      </c>
      <c r="D50" s="358">
        <f>'Publicação '!C53</f>
        <v>17331376.16</v>
      </c>
      <c r="E50" s="359">
        <v>0</v>
      </c>
      <c r="F50" s="360">
        <f t="shared" si="0"/>
        <v>17331376.16</v>
      </c>
      <c r="G50" s="358">
        <f>'Publicação '!I53</f>
        <v>211084.05175519999</v>
      </c>
      <c r="H50" s="351">
        <f>'Publicação '!K53</f>
        <v>1041817.7700000001</v>
      </c>
      <c r="I50" s="361">
        <v>4.0762069999999997E-2</v>
      </c>
      <c r="J50" s="358">
        <f>ROYALTIES!B45</f>
        <v>379011.88</v>
      </c>
      <c r="K50" s="362">
        <f>'Publicação '!M53</f>
        <v>0</v>
      </c>
      <c r="L50" s="354">
        <f>'Publicação '!N53</f>
        <v>0</v>
      </c>
      <c r="N50" s="355"/>
    </row>
    <row r="51" spans="1:14" ht="15">
      <c r="A51" s="345" t="s">
        <v>474</v>
      </c>
      <c r="B51" s="356" t="s">
        <v>162</v>
      </c>
      <c r="C51" s="357">
        <v>2.5000000000000001E-3</v>
      </c>
      <c r="D51" s="358">
        <f>'Publicação '!C54</f>
        <v>931794.4</v>
      </c>
      <c r="E51" s="359">
        <v>0</v>
      </c>
      <c r="F51" s="360">
        <f t="shared" si="0"/>
        <v>931794.4</v>
      </c>
      <c r="G51" s="358">
        <f>'Publicação '!I54</f>
        <v>11700.9837888</v>
      </c>
      <c r="H51" s="351">
        <f>'Publicação '!K54</f>
        <v>59110.090000000004</v>
      </c>
      <c r="I51" s="361">
        <v>5.4253399999999999E-3</v>
      </c>
      <c r="J51" s="358">
        <f>ROYALTIES!B46</f>
        <v>20376.98</v>
      </c>
      <c r="K51" s="362">
        <f>'Publicação '!M54</f>
        <v>0</v>
      </c>
      <c r="L51" s="354">
        <f>'Publicação '!N54</f>
        <v>0</v>
      </c>
      <c r="N51" s="355"/>
    </row>
    <row r="52" spans="1:14" ht="15">
      <c r="A52" s="345" t="s">
        <v>475</v>
      </c>
      <c r="B52" s="356" t="s">
        <v>163</v>
      </c>
      <c r="C52" s="357" t="s">
        <v>554</v>
      </c>
      <c r="D52" s="358">
        <f>'Publicação '!C55</f>
        <v>2295941.4099999997</v>
      </c>
      <c r="E52" s="359">
        <v>0</v>
      </c>
      <c r="F52" s="360">
        <f t="shared" si="0"/>
        <v>2295941.4099999997</v>
      </c>
      <c r="G52" s="358">
        <f>'Publicação '!I55</f>
        <v>27895.823670399997</v>
      </c>
      <c r="H52" s="351">
        <f>'Publicação '!K55</f>
        <v>256819.57</v>
      </c>
      <c r="I52" s="361">
        <v>1.2402750000000001E-2</v>
      </c>
      <c r="J52" s="358">
        <f>ROYALTIES!B47</f>
        <v>50208.89</v>
      </c>
      <c r="K52" s="362">
        <f>'Publicação '!M55</f>
        <v>0</v>
      </c>
      <c r="L52" s="354">
        <f>'Publicação '!N55</f>
        <v>0</v>
      </c>
      <c r="N52" s="355"/>
    </row>
    <row r="53" spans="1:14" ht="15">
      <c r="A53" s="345" t="s">
        <v>476</v>
      </c>
      <c r="B53" s="356" t="s">
        <v>164</v>
      </c>
      <c r="C53" s="357" t="s">
        <v>555</v>
      </c>
      <c r="D53" s="358">
        <f>'Publicação '!C56</f>
        <v>2113309.7599999998</v>
      </c>
      <c r="E53" s="359">
        <v>0</v>
      </c>
      <c r="F53" s="360">
        <f t="shared" si="0"/>
        <v>2113309.7599999998</v>
      </c>
      <c r="G53" s="358">
        <f>'Publicação '!I56</f>
        <v>25903.264836800001</v>
      </c>
      <c r="H53" s="351">
        <f>'Publicação '!K56</f>
        <v>130514.29000000001</v>
      </c>
      <c r="I53" s="361">
        <v>6.9236300000000001E-3</v>
      </c>
      <c r="J53" s="358">
        <f>ROYALTIES!B48</f>
        <v>46214.990000000005</v>
      </c>
      <c r="K53" s="362">
        <f>'Publicação '!M56</f>
        <v>0</v>
      </c>
      <c r="L53" s="354">
        <f>'Publicação '!N56</f>
        <v>0</v>
      </c>
      <c r="N53" s="355"/>
    </row>
    <row r="54" spans="1:14" ht="15">
      <c r="A54" s="345" t="s">
        <v>477</v>
      </c>
      <c r="B54" s="356" t="s">
        <v>165</v>
      </c>
      <c r="C54" s="357">
        <v>4.5999999999999999E-3</v>
      </c>
      <c r="D54" s="358">
        <f>'Publicação '!C57</f>
        <v>1714501.7300000002</v>
      </c>
      <c r="E54" s="359">
        <v>0</v>
      </c>
      <c r="F54" s="360">
        <f t="shared" si="0"/>
        <v>1714501.7300000002</v>
      </c>
      <c r="G54" s="358">
        <f>'Publicação '!I57</f>
        <v>18484.162796799999</v>
      </c>
      <c r="H54" s="351">
        <f>'Publicação '!K57</f>
        <v>130196.26000000001</v>
      </c>
      <c r="I54" s="361">
        <v>4.6974399999999998E-3</v>
      </c>
      <c r="J54" s="358">
        <f>ROYALTIES!B49</f>
        <v>37493.65</v>
      </c>
      <c r="K54" s="362">
        <f>'Publicação '!M57</f>
        <v>0</v>
      </c>
      <c r="L54" s="354">
        <f>'Publicação '!N57</f>
        <v>0</v>
      </c>
      <c r="N54" s="355"/>
    </row>
    <row r="55" spans="1:14" ht="15">
      <c r="A55" s="345" t="s">
        <v>478</v>
      </c>
      <c r="B55" s="356" t="s">
        <v>166</v>
      </c>
      <c r="C55" s="357" t="s">
        <v>556</v>
      </c>
      <c r="D55" s="358">
        <f>'Publicação '!C58</f>
        <v>1770409.3999999997</v>
      </c>
      <c r="E55" s="359">
        <v>0</v>
      </c>
      <c r="F55" s="360">
        <f t="shared" si="0"/>
        <v>1770409.3999999997</v>
      </c>
      <c r="G55" s="358">
        <f>'Publicação '!I58</f>
        <v>20985.460055999996</v>
      </c>
      <c r="H55" s="351">
        <f>'Publicação '!K58</f>
        <v>114168.37000000001</v>
      </c>
      <c r="I55" s="361">
        <v>8.5854099999999999E-3</v>
      </c>
      <c r="J55" s="358">
        <f>ROYALTIES!B50</f>
        <v>38716.269999999997</v>
      </c>
      <c r="K55" s="362">
        <f>'Publicação '!M58</f>
        <v>0</v>
      </c>
      <c r="L55" s="354">
        <f>'Publicação '!N58</f>
        <v>0</v>
      </c>
      <c r="N55" s="355"/>
    </row>
    <row r="56" spans="1:14" ht="15">
      <c r="A56" s="345" t="s">
        <v>479</v>
      </c>
      <c r="B56" s="356" t="s">
        <v>167</v>
      </c>
      <c r="C56" s="357" t="s">
        <v>557</v>
      </c>
      <c r="D56" s="358">
        <f>'Publicação '!C59</f>
        <v>1967949.8099999998</v>
      </c>
      <c r="E56" s="359">
        <v>0</v>
      </c>
      <c r="F56" s="360">
        <f t="shared" si="0"/>
        <v>1967949.8099999998</v>
      </c>
      <c r="G56" s="358">
        <f>'Publicação '!I59</f>
        <v>22087.726644800001</v>
      </c>
      <c r="H56" s="351">
        <f>'Publicação '!K59</f>
        <v>100656.62</v>
      </c>
      <c r="I56" s="361">
        <v>7.0878299999999998E-3</v>
      </c>
      <c r="J56" s="358">
        <f>ROYALTIES!B51</f>
        <v>43036.18</v>
      </c>
      <c r="K56" s="362">
        <f>'Publicação '!M59</f>
        <v>0</v>
      </c>
      <c r="L56" s="354">
        <f>'Publicação '!N59</f>
        <v>0</v>
      </c>
      <c r="N56" s="355"/>
    </row>
    <row r="57" spans="1:14" ht="15">
      <c r="A57" s="345" t="s">
        <v>480</v>
      </c>
      <c r="B57" s="356" t="s">
        <v>168</v>
      </c>
      <c r="C57" s="357" t="s">
        <v>558</v>
      </c>
      <c r="D57" s="358">
        <f>'Publicação '!C60</f>
        <v>1092063.0299999998</v>
      </c>
      <c r="E57" s="359">
        <v>0</v>
      </c>
      <c r="F57" s="360">
        <f t="shared" si="0"/>
        <v>1092063.0299999998</v>
      </c>
      <c r="G57" s="358">
        <f>'Publicação '!I60</f>
        <v>11997.747870399999</v>
      </c>
      <c r="H57" s="351">
        <f>'Publicação '!K60</f>
        <v>25253.040000000001</v>
      </c>
      <c r="I57" s="361">
        <v>3.02432E-3</v>
      </c>
      <c r="J57" s="358">
        <f>ROYALTIES!B52</f>
        <v>23881.82</v>
      </c>
      <c r="K57" s="362">
        <f>'Publicação '!M60</f>
        <v>0</v>
      </c>
      <c r="L57" s="354">
        <f>'Publicação '!N60</f>
        <v>0</v>
      </c>
      <c r="N57" s="355"/>
    </row>
    <row r="58" spans="1:14" ht="15">
      <c r="A58" s="345" t="s">
        <v>481</v>
      </c>
      <c r="B58" s="356" t="s">
        <v>169</v>
      </c>
      <c r="C58" s="357" t="s">
        <v>559</v>
      </c>
      <c r="D58" s="358">
        <f>'Publicação '!C61</f>
        <v>1930678.04</v>
      </c>
      <c r="E58" s="359">
        <v>0</v>
      </c>
      <c r="F58" s="360">
        <f t="shared" si="0"/>
        <v>1930678.04</v>
      </c>
      <c r="G58" s="358">
        <f>'Publicação '!I61</f>
        <v>23147.5983648</v>
      </c>
      <c r="H58" s="351">
        <f>'Publicação '!K61</f>
        <v>55979.909999999996</v>
      </c>
      <c r="I58" s="361">
        <v>6.9904099999999999E-3</v>
      </c>
      <c r="J58" s="358">
        <f>ROYALTIES!B53</f>
        <v>42221.11</v>
      </c>
      <c r="K58" s="362">
        <f>'Publicação '!M61</f>
        <v>0</v>
      </c>
      <c r="L58" s="354">
        <f>'Publicação '!N61</f>
        <v>0</v>
      </c>
      <c r="N58" s="355"/>
    </row>
    <row r="59" spans="1:14" ht="15">
      <c r="A59" s="345" t="s">
        <v>482</v>
      </c>
      <c r="B59" s="356" t="s">
        <v>170</v>
      </c>
      <c r="C59" s="357" t="s">
        <v>560</v>
      </c>
      <c r="D59" s="358">
        <f>'Publicação '!C62</f>
        <v>995156.45999999985</v>
      </c>
      <c r="E59" s="359">
        <v>0</v>
      </c>
      <c r="F59" s="360">
        <f t="shared" si="0"/>
        <v>995156.45999999985</v>
      </c>
      <c r="G59" s="358">
        <f>'Publicação '!I62</f>
        <v>11912.958132800002</v>
      </c>
      <c r="H59" s="351">
        <f>'Publicação '!K62</f>
        <v>52966.68</v>
      </c>
      <c r="I59" s="361">
        <v>5.6450299999999997E-3</v>
      </c>
      <c r="J59" s="358">
        <f>ROYALTIES!B54</f>
        <v>21762.62</v>
      </c>
      <c r="K59" s="362">
        <f>'Publicação '!M62</f>
        <v>0</v>
      </c>
      <c r="L59" s="354">
        <f>'Publicação '!N62</f>
        <v>0</v>
      </c>
      <c r="N59" s="355"/>
    </row>
    <row r="60" spans="1:14" ht="15">
      <c r="A60" s="345" t="s">
        <v>483</v>
      </c>
      <c r="B60" s="356" t="s">
        <v>171</v>
      </c>
      <c r="C60" s="357" t="s">
        <v>561</v>
      </c>
      <c r="D60" s="358">
        <f>'Publicação '!C63</f>
        <v>4878875.580000001</v>
      </c>
      <c r="E60" s="359">
        <v>0</v>
      </c>
      <c r="F60" s="360">
        <f t="shared" si="0"/>
        <v>4878875.580000001</v>
      </c>
      <c r="G60" s="358">
        <f>'Publicação '!I63</f>
        <v>55579.6729968</v>
      </c>
      <c r="H60" s="351">
        <f>'Publicação '!K63</f>
        <v>226251.78999999998</v>
      </c>
      <c r="I60" s="361">
        <v>1.476293E-2</v>
      </c>
      <c r="J60" s="358">
        <f>ROYALTIES!B55</f>
        <v>106693.88</v>
      </c>
      <c r="K60" s="362">
        <f>'Publicação '!M63</f>
        <v>0</v>
      </c>
      <c r="L60" s="354">
        <f>'Publicação '!N63</f>
        <v>0</v>
      </c>
      <c r="N60" s="355"/>
    </row>
    <row r="61" spans="1:14" ht="15">
      <c r="A61" s="345" t="s">
        <v>484</v>
      </c>
      <c r="B61" s="356" t="s">
        <v>172</v>
      </c>
      <c r="C61" s="357" t="s">
        <v>562</v>
      </c>
      <c r="D61" s="358">
        <f>'Publicação '!C64</f>
        <v>1692138.6500000001</v>
      </c>
      <c r="E61" s="359">
        <v>0</v>
      </c>
      <c r="F61" s="360">
        <f t="shared" si="0"/>
        <v>1692138.6500000001</v>
      </c>
      <c r="G61" s="358">
        <f>'Publicação '!I64</f>
        <v>18484.162796799999</v>
      </c>
      <c r="H61" s="351">
        <f>'Publicação '!K64</f>
        <v>70200.479999999981</v>
      </c>
      <c r="I61" s="361">
        <v>7.08692E-3</v>
      </c>
      <c r="J61" s="358">
        <f>ROYALTIES!B56</f>
        <v>37004.61</v>
      </c>
      <c r="K61" s="362">
        <f>'Publicação '!M64</f>
        <v>0</v>
      </c>
      <c r="L61" s="354">
        <f>'Publicação '!N64</f>
        <v>0</v>
      </c>
      <c r="N61" s="355"/>
    </row>
    <row r="62" spans="1:14" ht="15">
      <c r="A62" s="345" t="s">
        <v>485</v>
      </c>
      <c r="B62" s="356" t="s">
        <v>173</v>
      </c>
      <c r="C62" s="357" t="s">
        <v>563</v>
      </c>
      <c r="D62" s="358">
        <f>'Publicação '!C65</f>
        <v>1177788.1300000004</v>
      </c>
      <c r="E62" s="359">
        <v>0</v>
      </c>
      <c r="F62" s="360">
        <f t="shared" si="0"/>
        <v>1177788.1300000004</v>
      </c>
      <c r="G62" s="358">
        <f>'Publicação '!I65</f>
        <v>13015.2247216</v>
      </c>
      <c r="H62" s="351">
        <f>'Publicação '!K65</f>
        <v>84983.829999999987</v>
      </c>
      <c r="I62" s="361">
        <v>8.1014299999999997E-3</v>
      </c>
      <c r="J62" s="358">
        <f>ROYALTIES!B57</f>
        <v>25756.5</v>
      </c>
      <c r="K62" s="362">
        <f>'Publicação '!M65</f>
        <v>0</v>
      </c>
      <c r="L62" s="354">
        <f>'Publicação '!N65</f>
        <v>0</v>
      </c>
      <c r="N62" s="355"/>
    </row>
    <row r="63" spans="1:14" ht="15">
      <c r="A63" s="345" t="s">
        <v>486</v>
      </c>
      <c r="B63" s="356" t="s">
        <v>174</v>
      </c>
      <c r="C63" s="357" t="s">
        <v>564</v>
      </c>
      <c r="D63" s="358">
        <f>'Publicação '!C66</f>
        <v>2840109.37</v>
      </c>
      <c r="E63" s="359">
        <v>0</v>
      </c>
      <c r="F63" s="360">
        <f t="shared" si="0"/>
        <v>2840109.37</v>
      </c>
      <c r="G63" s="358">
        <f>'Publicação '!I66</f>
        <v>31033.0439616</v>
      </c>
      <c r="H63" s="351">
        <f>'Publicação '!K66</f>
        <v>87244.29</v>
      </c>
      <c r="I63" s="361">
        <v>8.51237E-3</v>
      </c>
      <c r="J63" s="358">
        <f>ROYALTIES!B58</f>
        <v>62109.04</v>
      </c>
      <c r="K63" s="362">
        <f>'Publicação '!M66</f>
        <v>0</v>
      </c>
      <c r="L63" s="354">
        <f>'Publicação '!N66</f>
        <v>0</v>
      </c>
      <c r="N63" s="355"/>
    </row>
    <row r="64" spans="1:14" ht="15">
      <c r="A64" s="345" t="s">
        <v>487</v>
      </c>
      <c r="B64" s="356" t="s">
        <v>175</v>
      </c>
      <c r="C64" s="357">
        <v>2.5999999999999999E-3</v>
      </c>
      <c r="D64" s="358">
        <f>'Publicação '!C67</f>
        <v>969066.19000000006</v>
      </c>
      <c r="E64" s="359">
        <v>0</v>
      </c>
      <c r="F64" s="360">
        <f t="shared" si="0"/>
        <v>969066.19000000006</v>
      </c>
      <c r="G64" s="358">
        <f>'Publicação '!I67</f>
        <v>6020.0713695999993</v>
      </c>
      <c r="H64" s="351">
        <f>'Publicação '!K67</f>
        <v>213115.5</v>
      </c>
      <c r="I64" s="361">
        <v>7.5312699999999996E-3</v>
      </c>
      <c r="J64" s="358">
        <f>ROYALTIES!B59</f>
        <v>21192.059999999998</v>
      </c>
      <c r="K64" s="362">
        <f>'Publicação '!M67</f>
        <v>0</v>
      </c>
      <c r="L64" s="354">
        <f>'Publicação '!N67</f>
        <v>0</v>
      </c>
      <c r="N64" s="355"/>
    </row>
    <row r="65" spans="1:14" ht="15">
      <c r="A65" s="345" t="s">
        <v>488</v>
      </c>
      <c r="B65" s="356" t="s">
        <v>176</v>
      </c>
      <c r="C65" s="357" t="s">
        <v>565</v>
      </c>
      <c r="D65" s="358">
        <f>'Publicação '!C68</f>
        <v>797616.0199999999</v>
      </c>
      <c r="E65" s="359">
        <v>0</v>
      </c>
      <c r="F65" s="360">
        <f t="shared" si="0"/>
        <v>797616.0199999999</v>
      </c>
      <c r="G65" s="358">
        <f>'Publicação '!I68</f>
        <v>8860.5275791999993</v>
      </c>
      <c r="H65" s="351">
        <f>'Publicação '!K68</f>
        <v>24368.26</v>
      </c>
      <c r="I65" s="361">
        <v>3.1587799999999999E-3</v>
      </c>
      <c r="J65" s="358">
        <f>ROYALTIES!B60</f>
        <v>17442.7</v>
      </c>
      <c r="K65" s="362">
        <f>'Publicação '!M68</f>
        <v>0</v>
      </c>
      <c r="L65" s="354">
        <f>'Publicação '!N68</f>
        <v>0</v>
      </c>
      <c r="N65" s="355"/>
    </row>
    <row r="66" spans="1:14" ht="15">
      <c r="A66" s="345" t="s">
        <v>489</v>
      </c>
      <c r="B66" s="356" t="s">
        <v>177</v>
      </c>
      <c r="C66" s="357" t="s">
        <v>566</v>
      </c>
      <c r="D66" s="358">
        <f>'Publicação '!C69</f>
        <v>1457326.48</v>
      </c>
      <c r="E66" s="359">
        <v>0</v>
      </c>
      <c r="F66" s="360">
        <f t="shared" si="0"/>
        <v>1457326.48</v>
      </c>
      <c r="G66" s="358">
        <f>'Publicação '!I69</f>
        <v>13566.358016</v>
      </c>
      <c r="H66" s="351">
        <f>'Publicação '!K69</f>
        <v>145427.97</v>
      </c>
      <c r="I66" s="361">
        <v>5.6386400000000003E-3</v>
      </c>
      <c r="J66" s="358">
        <f>ROYALTIES!B61</f>
        <v>31869.600000000002</v>
      </c>
      <c r="K66" s="362">
        <f>'Publicação '!M69</f>
        <v>0</v>
      </c>
      <c r="L66" s="354">
        <f>'Publicação '!N69</f>
        <v>0</v>
      </c>
      <c r="N66" s="355"/>
    </row>
    <row r="67" spans="1:14" ht="15">
      <c r="A67" s="345" t="s">
        <v>490</v>
      </c>
      <c r="B67" s="356" t="s">
        <v>178</v>
      </c>
      <c r="C67" s="357" t="s">
        <v>567</v>
      </c>
      <c r="D67" s="358">
        <f>'Publicação '!C70</f>
        <v>3365641.4499999997</v>
      </c>
      <c r="E67" s="359">
        <v>0</v>
      </c>
      <c r="F67" s="360">
        <f t="shared" si="0"/>
        <v>3365641.4499999997</v>
      </c>
      <c r="G67" s="358">
        <f>'Publicação '!I70</f>
        <v>36205.217955199994</v>
      </c>
      <c r="H67" s="351">
        <f>'Publicação '!K70</f>
        <v>217885.93999999997</v>
      </c>
      <c r="I67" s="361">
        <v>7.1366099999999998E-3</v>
      </c>
      <c r="J67" s="358">
        <f>ROYALTIES!B62</f>
        <v>73601.659999999989</v>
      </c>
      <c r="K67" s="362">
        <f>'Publicação '!M70</f>
        <v>0</v>
      </c>
      <c r="L67" s="354">
        <f>'Publicação '!N70</f>
        <v>0</v>
      </c>
      <c r="N67" s="355"/>
    </row>
    <row r="68" spans="1:14" ht="15">
      <c r="A68" s="345" t="s">
        <v>491</v>
      </c>
      <c r="B68" s="356" t="s">
        <v>179</v>
      </c>
      <c r="C68" s="357" t="s">
        <v>568</v>
      </c>
      <c r="D68" s="358">
        <f>'Publicação '!C71</f>
        <v>965339.01</v>
      </c>
      <c r="E68" s="359">
        <v>0</v>
      </c>
      <c r="F68" s="360">
        <f t="shared" si="0"/>
        <v>965339.01</v>
      </c>
      <c r="G68" s="358">
        <f>'Publicação '!I71</f>
        <v>10598.717199999999</v>
      </c>
      <c r="H68" s="351">
        <f>'Publicação '!K71</f>
        <v>54606.73000000001</v>
      </c>
      <c r="I68" s="361">
        <v>4.5255499999999997E-3</v>
      </c>
      <c r="J68" s="358">
        <f>ROYALTIES!B63</f>
        <v>21110.55</v>
      </c>
      <c r="K68" s="362">
        <f>'Publicação '!M71</f>
        <v>0</v>
      </c>
      <c r="L68" s="354">
        <f>'Publicação '!N71</f>
        <v>0</v>
      </c>
      <c r="N68" s="355"/>
    </row>
    <row r="69" spans="1:14" ht="15">
      <c r="A69" s="345" t="s">
        <v>492</v>
      </c>
      <c r="B69" s="356" t="s">
        <v>180</v>
      </c>
      <c r="C69" s="357" t="s">
        <v>569</v>
      </c>
      <c r="D69" s="358">
        <f>'Publicação '!C72</f>
        <v>1956768.2800000003</v>
      </c>
      <c r="E69" s="359">
        <v>0</v>
      </c>
      <c r="F69" s="360">
        <f t="shared" si="0"/>
        <v>1956768.2800000003</v>
      </c>
      <c r="G69" s="358">
        <f>'Publicação '!I72</f>
        <v>23105.203495999998</v>
      </c>
      <c r="H69" s="351">
        <f>'Publicação '!K72</f>
        <v>69921.040000000008</v>
      </c>
      <c r="I69" s="361">
        <v>4.7912099999999997E-3</v>
      </c>
      <c r="J69" s="358">
        <f>ROYALTIES!B64</f>
        <v>42791.66</v>
      </c>
      <c r="K69" s="362">
        <f>'Publicação '!M72</f>
        <v>0</v>
      </c>
      <c r="L69" s="354">
        <f>'Publicação '!N72</f>
        <v>0</v>
      </c>
      <c r="N69" s="355"/>
    </row>
    <row r="70" spans="1:14" ht="15">
      <c r="A70" s="345" t="s">
        <v>493</v>
      </c>
      <c r="B70" s="356" t="s">
        <v>181</v>
      </c>
      <c r="C70" s="357">
        <v>2.3400000000000001E-2</v>
      </c>
      <c r="D70" s="358">
        <f>'Publicação '!C73</f>
        <v>8721595.7399999984</v>
      </c>
      <c r="E70" s="359">
        <v>0</v>
      </c>
      <c r="F70" s="360">
        <f t="shared" si="0"/>
        <v>8721595.7399999984</v>
      </c>
      <c r="G70" s="358">
        <f>'Publicação '!I73</f>
        <v>94752.531767999986</v>
      </c>
      <c r="H70" s="351">
        <f>'Publicação '!K73</f>
        <v>627662.60000000009</v>
      </c>
      <c r="I70" s="361">
        <v>1.236453E-2</v>
      </c>
      <c r="J70" s="358">
        <f>ROYALTIES!B65</f>
        <v>190728.56</v>
      </c>
      <c r="K70" s="362">
        <f>'Publicação '!M73</f>
        <v>0</v>
      </c>
      <c r="L70" s="354">
        <f>'Publicação '!N73</f>
        <v>0</v>
      </c>
      <c r="N70" s="355"/>
    </row>
    <row r="71" spans="1:14" ht="15">
      <c r="A71" s="345" t="s">
        <v>494</v>
      </c>
      <c r="B71" s="356" t="s">
        <v>182</v>
      </c>
      <c r="C71" s="357" t="s">
        <v>570</v>
      </c>
      <c r="D71" s="358">
        <f>'Publicação '!C74</f>
        <v>2344394.7600000002</v>
      </c>
      <c r="E71" s="359">
        <v>0</v>
      </c>
      <c r="F71" s="360">
        <f t="shared" si="0"/>
        <v>2344394.7600000002</v>
      </c>
      <c r="G71" s="358">
        <f>'Publicação '!I74</f>
        <v>27599.059588799999</v>
      </c>
      <c r="H71" s="351">
        <f>'Publicação '!K74</f>
        <v>140254.49</v>
      </c>
      <c r="I71" s="361">
        <v>8.2691599999999994E-3</v>
      </c>
      <c r="J71" s="358">
        <f>ROYALTIES!B66</f>
        <v>51268.490000000005</v>
      </c>
      <c r="K71" s="362">
        <f>'Publicação '!M74</f>
        <v>0</v>
      </c>
      <c r="L71" s="354">
        <f>'Publicação '!N74</f>
        <v>0</v>
      </c>
      <c r="N71" s="355"/>
    </row>
    <row r="72" spans="1:14" ht="15">
      <c r="A72" s="345" t="s">
        <v>495</v>
      </c>
      <c r="B72" s="356" t="s">
        <v>183</v>
      </c>
      <c r="C72" s="357" t="s">
        <v>571</v>
      </c>
      <c r="D72" s="358">
        <f>'Publicação '!C75</f>
        <v>1505779.7899999998</v>
      </c>
      <c r="E72" s="359">
        <v>0</v>
      </c>
      <c r="F72" s="360">
        <f t="shared" si="0"/>
        <v>1505779.7899999998</v>
      </c>
      <c r="G72" s="358">
        <f>'Publicação '!I75</f>
        <v>17933.029502400001</v>
      </c>
      <c r="H72" s="351">
        <f>'Publicação '!K75</f>
        <v>59105.400000000009</v>
      </c>
      <c r="I72" s="361">
        <v>3.4316199999999998E-3</v>
      </c>
      <c r="J72" s="358">
        <f>ROYALTIES!B67</f>
        <v>32929.21</v>
      </c>
      <c r="K72" s="362">
        <f>'Publicação '!M75</f>
        <v>0</v>
      </c>
      <c r="L72" s="354">
        <f>'Publicação '!N75</f>
        <v>0</v>
      </c>
      <c r="N72" s="355"/>
    </row>
    <row r="73" spans="1:14" ht="15">
      <c r="A73" s="345" t="s">
        <v>496</v>
      </c>
      <c r="B73" s="356" t="s">
        <v>184</v>
      </c>
      <c r="C73" s="357" t="s">
        <v>572</v>
      </c>
      <c r="D73" s="358">
        <f>'Publicação '!C76</f>
        <v>2989196.4899999993</v>
      </c>
      <c r="E73" s="359">
        <v>0</v>
      </c>
      <c r="F73" s="360">
        <f t="shared" ref="F73:F85" si="1">D73</f>
        <v>2989196.4899999993</v>
      </c>
      <c r="G73" s="358">
        <f>'Publicação '!I76</f>
        <v>36120.428217599998</v>
      </c>
      <c r="H73" s="351">
        <f>'Publicação '!K76</f>
        <v>160362.53999999998</v>
      </c>
      <c r="I73" s="361">
        <v>1.10355E-2</v>
      </c>
      <c r="J73" s="358">
        <f>ROYALTIES!B68</f>
        <v>65369.36</v>
      </c>
      <c r="K73" s="362">
        <f>'Publicação '!M76</f>
        <v>0</v>
      </c>
      <c r="L73" s="354">
        <f>'Publicação '!N76</f>
        <v>0</v>
      </c>
      <c r="N73" s="355"/>
    </row>
    <row r="74" spans="1:14" ht="15">
      <c r="A74" s="345" t="s">
        <v>497</v>
      </c>
      <c r="B74" s="356" t="s">
        <v>185</v>
      </c>
      <c r="C74" s="357" t="s">
        <v>543</v>
      </c>
      <c r="D74" s="358">
        <f>'Publicação '!C77</f>
        <v>872159.57999999984</v>
      </c>
      <c r="E74" s="359">
        <v>0</v>
      </c>
      <c r="F74" s="360">
        <f t="shared" si="1"/>
        <v>872159.57999999984</v>
      </c>
      <c r="G74" s="358">
        <f>'Publicação '!I77</f>
        <v>9581.2403488</v>
      </c>
      <c r="H74" s="351">
        <f>'Publicação '!K77</f>
        <v>66059.600000000006</v>
      </c>
      <c r="I74" s="361">
        <v>4.5006300000000003E-3</v>
      </c>
      <c r="J74" s="358">
        <f>ROYALTIES!B69</f>
        <v>19072.86</v>
      </c>
      <c r="K74" s="362">
        <f>'Publicação '!M77</f>
        <v>0</v>
      </c>
      <c r="L74" s="354">
        <f>'Publicação '!N77</f>
        <v>0</v>
      </c>
      <c r="N74" s="355"/>
    </row>
    <row r="75" spans="1:14" ht="15">
      <c r="A75" s="345" t="s">
        <v>498</v>
      </c>
      <c r="B75" s="356" t="s">
        <v>186</v>
      </c>
      <c r="C75" s="357" t="s">
        <v>573</v>
      </c>
      <c r="D75" s="358">
        <f>'Publicação '!C78</f>
        <v>7275450.8000000007</v>
      </c>
      <c r="E75" s="359">
        <v>0</v>
      </c>
      <c r="F75" s="360">
        <f t="shared" si="1"/>
        <v>7275450.8000000007</v>
      </c>
      <c r="G75" s="358">
        <f>'Publicação '!I78</f>
        <v>80592.645588799991</v>
      </c>
      <c r="H75" s="351">
        <f>'Publicação '!K78</f>
        <v>866948.67</v>
      </c>
      <c r="I75" s="361">
        <v>2.9874970000000001E-2</v>
      </c>
      <c r="J75" s="358">
        <f>ROYALTIES!B70</f>
        <v>159103.47999999998</v>
      </c>
      <c r="K75" s="362">
        <f>'Publicação '!M78</f>
        <v>0</v>
      </c>
      <c r="L75" s="354">
        <f>'Publicação '!N78</f>
        <v>0</v>
      </c>
      <c r="N75" s="355"/>
    </row>
    <row r="76" spans="1:14" ht="15">
      <c r="A76" s="345" t="s">
        <v>499</v>
      </c>
      <c r="B76" s="356" t="s">
        <v>187</v>
      </c>
      <c r="C76" s="357" t="s">
        <v>574</v>
      </c>
      <c r="D76" s="358">
        <f>'Publicação '!C79</f>
        <v>1106971.79</v>
      </c>
      <c r="E76" s="359">
        <v>0</v>
      </c>
      <c r="F76" s="360">
        <f t="shared" si="1"/>
        <v>1106971.79</v>
      </c>
      <c r="G76" s="358">
        <f>'Publicação '!I79</f>
        <v>13227.1990656</v>
      </c>
      <c r="H76" s="351">
        <f>'Publicação '!K79</f>
        <v>53785.909999999989</v>
      </c>
      <c r="I76" s="361">
        <v>4.5016800000000001E-3</v>
      </c>
      <c r="J76" s="358">
        <f>ROYALTIES!B71</f>
        <v>24207.86</v>
      </c>
      <c r="K76" s="362">
        <f>'Publicação '!M79</f>
        <v>0</v>
      </c>
      <c r="L76" s="354">
        <f>'Publicação '!N79</f>
        <v>0</v>
      </c>
      <c r="N76" s="355"/>
    </row>
    <row r="77" spans="1:14" ht="15">
      <c r="A77" s="345" t="s">
        <v>500</v>
      </c>
      <c r="B77" s="356" t="s">
        <v>188</v>
      </c>
      <c r="C77" s="357" t="s">
        <v>575</v>
      </c>
      <c r="D77" s="358">
        <f>'Publicação '!C80</f>
        <v>54748512.750000007</v>
      </c>
      <c r="E77" s="359">
        <v>0</v>
      </c>
      <c r="F77" s="360">
        <f t="shared" si="1"/>
        <v>54748512.750000007</v>
      </c>
      <c r="G77" s="358">
        <f>'Publicação '!I80</f>
        <v>662419.82499999995</v>
      </c>
      <c r="H77" s="351">
        <f>'Publicação '!K80</f>
        <v>2975921.9</v>
      </c>
      <c r="I77" s="361">
        <v>8.6914069999999996E-2</v>
      </c>
      <c r="J77" s="358">
        <f>ROYALTIES!B72</f>
        <v>1197270</v>
      </c>
      <c r="K77" s="362">
        <f>'Publicação '!M80</f>
        <v>0</v>
      </c>
      <c r="L77" s="354">
        <f>'Publicação '!N80</f>
        <v>0</v>
      </c>
      <c r="N77" s="355"/>
    </row>
    <row r="78" spans="1:14" ht="15">
      <c r="A78" s="345" t="s">
        <v>501</v>
      </c>
      <c r="B78" s="356" t="s">
        <v>189</v>
      </c>
      <c r="C78" s="357" t="s">
        <v>576</v>
      </c>
      <c r="D78" s="358">
        <f>'Publicação '!C81</f>
        <v>2713385.3500000006</v>
      </c>
      <c r="E78" s="359">
        <v>0</v>
      </c>
      <c r="F78" s="360">
        <f t="shared" si="1"/>
        <v>2713385.3500000006</v>
      </c>
      <c r="G78" s="358">
        <f>'Publicação '!I81</f>
        <v>30609.0952736</v>
      </c>
      <c r="H78" s="351">
        <f>'Publicação '!K81</f>
        <v>95831.34</v>
      </c>
      <c r="I78" s="361">
        <v>9.5182500000000007E-3</v>
      </c>
      <c r="J78" s="358">
        <f>ROYALTIES!B73</f>
        <v>59337.78</v>
      </c>
      <c r="K78" s="362">
        <f>'Publicação '!M81</f>
        <v>0</v>
      </c>
      <c r="L78" s="354">
        <f>'Publicação '!N81</f>
        <v>0</v>
      </c>
      <c r="N78" s="355"/>
    </row>
    <row r="79" spans="1:14" ht="15">
      <c r="A79" s="345" t="s">
        <v>502</v>
      </c>
      <c r="B79" s="356" t="s">
        <v>190</v>
      </c>
      <c r="C79" s="357" t="s">
        <v>577</v>
      </c>
      <c r="D79" s="358">
        <f>'Publicação '!C82</f>
        <v>1811408.3599999996</v>
      </c>
      <c r="E79" s="359">
        <v>0</v>
      </c>
      <c r="F79" s="360">
        <f t="shared" si="1"/>
        <v>1811408.3599999996</v>
      </c>
      <c r="G79" s="358">
        <f>'Publicação '!I82</f>
        <v>20815.8805808</v>
      </c>
      <c r="H79" s="351">
        <f>'Publicação '!K82</f>
        <v>138561.16</v>
      </c>
      <c r="I79" s="361">
        <v>7.1742999999999998E-3</v>
      </c>
      <c r="J79" s="358">
        <f>ROYALTIES!B74</f>
        <v>39612.85</v>
      </c>
      <c r="K79" s="362">
        <f>'Publicação '!M82</f>
        <v>0</v>
      </c>
      <c r="L79" s="354">
        <f>'Publicação '!N82</f>
        <v>0</v>
      </c>
      <c r="N79" s="355"/>
    </row>
    <row r="80" spans="1:14" ht="15">
      <c r="A80" s="345" t="s">
        <v>503</v>
      </c>
      <c r="B80" s="356" t="s">
        <v>191</v>
      </c>
      <c r="C80" s="357" t="s">
        <v>578</v>
      </c>
      <c r="D80" s="358">
        <f>'Publicação '!C83</f>
        <v>2307122.9799999995</v>
      </c>
      <c r="E80" s="359">
        <v>0</v>
      </c>
      <c r="F80" s="360">
        <f t="shared" si="1"/>
        <v>2307122.9799999995</v>
      </c>
      <c r="G80" s="358">
        <f>'Publicação '!I83</f>
        <v>29125.2748656</v>
      </c>
      <c r="H80" s="351">
        <f>'Publicação '!K83</f>
        <v>214933.30000000005</v>
      </c>
      <c r="I80" s="361">
        <v>8.5014200000000009E-3</v>
      </c>
      <c r="J80" s="358">
        <f>ROYALTIES!B75</f>
        <v>50453.41</v>
      </c>
      <c r="K80" s="362">
        <f>'Publicação '!M83</f>
        <v>0</v>
      </c>
      <c r="L80" s="354">
        <f>'Publicação '!N83</f>
        <v>0</v>
      </c>
      <c r="N80" s="355"/>
    </row>
    <row r="81" spans="1:15" ht="15">
      <c r="A81" s="345" t="s">
        <v>504</v>
      </c>
      <c r="B81" s="356" t="s">
        <v>192</v>
      </c>
      <c r="C81" s="357" t="s">
        <v>579</v>
      </c>
      <c r="D81" s="358">
        <f>'Publicação '!C84</f>
        <v>10521822.549999999</v>
      </c>
      <c r="E81" s="359">
        <v>0</v>
      </c>
      <c r="F81" s="360">
        <f t="shared" si="1"/>
        <v>10521822.549999999</v>
      </c>
      <c r="G81" s="358">
        <f>'Publicação '!I84</f>
        <v>126633.4731056</v>
      </c>
      <c r="H81" s="351">
        <f>'Publicação '!K84</f>
        <v>741251.82</v>
      </c>
      <c r="I81" s="361">
        <v>1.9592169999999999E-2</v>
      </c>
      <c r="J81" s="358">
        <f>ROYALTIES!B76</f>
        <v>230096.89</v>
      </c>
      <c r="K81" s="362">
        <f>'Publicação '!M84</f>
        <v>0</v>
      </c>
      <c r="L81" s="354">
        <f>'Publicação '!N84</f>
        <v>0</v>
      </c>
      <c r="N81" s="355"/>
    </row>
    <row r="82" spans="1:15" ht="15">
      <c r="A82" s="345" t="s">
        <v>505</v>
      </c>
      <c r="B82" s="356" t="s">
        <v>193</v>
      </c>
      <c r="C82" s="357" t="s">
        <v>580</v>
      </c>
      <c r="D82" s="358">
        <f>'Publicação '!C85</f>
        <v>1166606.6099999999</v>
      </c>
      <c r="E82" s="359">
        <v>0</v>
      </c>
      <c r="F82" s="360">
        <f t="shared" si="1"/>
        <v>1166606.6099999999</v>
      </c>
      <c r="G82" s="358">
        <f>'Publicação '!I85</f>
        <v>13523.9631472</v>
      </c>
      <c r="H82" s="351">
        <f>'Publicação '!K85</f>
        <v>51652.65</v>
      </c>
      <c r="I82" s="361">
        <v>3.4736200000000002E-3</v>
      </c>
      <c r="J82" s="358">
        <f>ROYALTIES!B77</f>
        <v>25511.98</v>
      </c>
      <c r="K82" s="362">
        <f>'Publicação '!M85</f>
        <v>0</v>
      </c>
      <c r="L82" s="354">
        <f>'Publicação '!N85</f>
        <v>0</v>
      </c>
      <c r="N82" s="355"/>
    </row>
    <row r="83" spans="1:15" ht="15">
      <c r="A83" s="345" t="s">
        <v>506</v>
      </c>
      <c r="B83" s="356" t="s">
        <v>194</v>
      </c>
      <c r="C83" s="357" t="s">
        <v>581</v>
      </c>
      <c r="D83" s="358">
        <f>'Publicação '!C86</f>
        <v>2396575.25</v>
      </c>
      <c r="E83" s="359">
        <v>0</v>
      </c>
      <c r="F83" s="360">
        <f t="shared" si="1"/>
        <v>2396575.25</v>
      </c>
      <c r="G83" s="358">
        <f>'Publicação '!I86</f>
        <v>27895.823670399997</v>
      </c>
      <c r="H83" s="351">
        <f>'Publicação '!K86</f>
        <v>102413.42000000001</v>
      </c>
      <c r="I83" s="361">
        <v>5.6428099999999998E-3</v>
      </c>
      <c r="J83" s="358">
        <f>ROYALTIES!B78</f>
        <v>52409.599999999999</v>
      </c>
      <c r="K83" s="362">
        <f>'Publicação '!M86</f>
        <v>0</v>
      </c>
      <c r="L83" s="354">
        <f>'Publicação '!N86</f>
        <v>0</v>
      </c>
      <c r="N83" s="355"/>
    </row>
    <row r="84" spans="1:15" ht="15">
      <c r="A84" s="345" t="s">
        <v>507</v>
      </c>
      <c r="B84" s="356" t="s">
        <v>195</v>
      </c>
      <c r="C84" s="357">
        <v>4.9700000000000001E-2</v>
      </c>
      <c r="D84" s="358">
        <f>'Publicação '!C87</f>
        <v>18524072.999999996</v>
      </c>
      <c r="E84" s="359">
        <v>0</v>
      </c>
      <c r="F84" s="360">
        <f t="shared" si="1"/>
        <v>18524072.999999996</v>
      </c>
      <c r="G84" s="358">
        <f>'Publicação '!I87</f>
        <v>214348.4566528</v>
      </c>
      <c r="H84" s="351">
        <f>'Publicação '!K87</f>
        <v>3308572.0600000005</v>
      </c>
      <c r="I84" s="361">
        <v>8.0010719999999994E-2</v>
      </c>
      <c r="J84" s="358">
        <f>ROYALTIES!B79</f>
        <v>405094.42</v>
      </c>
      <c r="K84" s="362">
        <f>'Publicação '!M87</f>
        <v>0</v>
      </c>
      <c r="L84" s="354">
        <f>'Publicação '!N87</f>
        <v>0</v>
      </c>
      <c r="N84" s="355"/>
    </row>
    <row r="85" spans="1:15" ht="15">
      <c r="A85" s="345" t="s">
        <v>508</v>
      </c>
      <c r="B85" s="366" t="s">
        <v>196</v>
      </c>
      <c r="C85" s="367" t="s">
        <v>582</v>
      </c>
      <c r="D85" s="368">
        <f>'Publicação '!C88</f>
        <v>51595320.259999998</v>
      </c>
      <c r="E85" s="359">
        <v>0</v>
      </c>
      <c r="F85" s="369">
        <f t="shared" si="1"/>
        <v>51595320.259999998</v>
      </c>
      <c r="G85" s="368">
        <f>'Publicação '!I88</f>
        <v>626680.95060159999</v>
      </c>
      <c r="H85" s="351">
        <f>'Publicação '!K88</f>
        <v>3806159.68</v>
      </c>
      <c r="I85" s="370">
        <v>9.2109179999999999E-2</v>
      </c>
      <c r="J85" s="368">
        <f>ROYALTIES!B80</f>
        <v>1128314.29</v>
      </c>
      <c r="K85" s="362">
        <f>'Publicação '!M88</f>
        <v>0</v>
      </c>
      <c r="L85" s="371">
        <f>'Publicação '!N88</f>
        <v>0</v>
      </c>
      <c r="N85" s="355"/>
    </row>
    <row r="86" spans="1:15">
      <c r="A86" s="372"/>
      <c r="B86" s="372" t="s">
        <v>2</v>
      </c>
      <c r="C86" s="373">
        <v>1</v>
      </c>
      <c r="D86" s="374">
        <f>SUM(D8:D85)</f>
        <v>372717766.6500001</v>
      </c>
      <c r="E86" s="375">
        <v>0</v>
      </c>
      <c r="F86" s="376">
        <f t="shared" ref="F86:I86" si="2">SUM(F8:F85)</f>
        <v>372717766.6500001</v>
      </c>
      <c r="G86" s="377">
        <f>SUM(G8:G85)</f>
        <v>4239486.88</v>
      </c>
      <c r="H86" s="378">
        <f>SUM(H8:H85)</f>
        <v>28547590.139999993</v>
      </c>
      <c r="I86" s="379">
        <f t="shared" si="2"/>
        <v>0.99999999999999989</v>
      </c>
      <c r="J86" s="380">
        <f>SUM(J8:J85)</f>
        <v>8150793.0999999996</v>
      </c>
      <c r="K86" s="381">
        <f>SUM(K8:K85)</f>
        <v>0</v>
      </c>
      <c r="L86" s="382">
        <f>SUM(L8:L85)</f>
        <v>0</v>
      </c>
    </row>
    <row r="87" spans="1:15" ht="16.5" customHeight="1">
      <c r="B87" s="383" t="s">
        <v>197</v>
      </c>
      <c r="C87" s="383"/>
      <c r="D87" s="384"/>
      <c r="E87" s="385"/>
      <c r="F87" s="386"/>
      <c r="G87" s="387"/>
      <c r="H87" s="387"/>
      <c r="I87" s="388"/>
      <c r="J87" s="389"/>
      <c r="K87" s="362"/>
      <c r="L87" s="390"/>
    </row>
    <row r="88" spans="1:15" ht="16.5" customHeight="1">
      <c r="A88" s="391"/>
      <c r="B88" s="392" t="s">
        <v>509</v>
      </c>
      <c r="C88" s="392"/>
      <c r="D88" s="392"/>
      <c r="E88" s="392"/>
      <c r="F88" s="392"/>
      <c r="G88" s="392"/>
      <c r="H88" s="392"/>
      <c r="I88" s="393"/>
      <c r="J88" s="392"/>
      <c r="K88" s="394"/>
      <c r="L88" s="395"/>
      <c r="M88" s="386"/>
    </row>
    <row r="89" spans="1:15" s="391" customFormat="1" ht="15.75" customHeight="1">
      <c r="B89" s="392" t="s">
        <v>510</v>
      </c>
      <c r="C89" s="392"/>
      <c r="D89" s="392"/>
      <c r="E89" s="392"/>
      <c r="F89" s="392"/>
      <c r="G89" s="392"/>
      <c r="H89" s="392"/>
      <c r="I89" s="393"/>
      <c r="J89" s="392"/>
      <c r="K89" s="394"/>
      <c r="L89" s="392"/>
      <c r="M89" s="396"/>
      <c r="N89" s="396"/>
    </row>
    <row r="90" spans="1:15" s="391" customFormat="1" ht="15.75" customHeight="1">
      <c r="B90" s="392" t="s">
        <v>511</v>
      </c>
      <c r="C90" s="392"/>
      <c r="D90" s="392"/>
      <c r="E90" s="392"/>
      <c r="F90" s="392"/>
      <c r="G90" s="392"/>
      <c r="H90" s="392"/>
      <c r="I90" s="393"/>
      <c r="J90" s="392"/>
      <c r="K90" s="394"/>
      <c r="L90" s="392"/>
      <c r="M90" s="396"/>
      <c r="N90" s="396"/>
    </row>
    <row r="91" spans="1:15" s="391" customFormat="1" ht="13.5" customHeight="1">
      <c r="A91" s="397"/>
      <c r="B91" s="397" t="s">
        <v>512</v>
      </c>
      <c r="C91" s="397"/>
      <c r="D91" s="397"/>
      <c r="E91" s="397"/>
      <c r="F91" s="397"/>
      <c r="G91" s="397"/>
      <c r="H91" s="397"/>
      <c r="I91" s="398"/>
      <c r="J91" s="397"/>
      <c r="K91" s="399"/>
      <c r="L91" s="392"/>
      <c r="M91" s="396"/>
      <c r="N91" s="396"/>
    </row>
    <row r="92" spans="1:15" s="391" customFormat="1" ht="14.25" customHeight="1">
      <c r="A92" s="400"/>
      <c r="B92" s="440" t="s">
        <v>513</v>
      </c>
      <c r="C92" s="440"/>
      <c r="D92" s="440"/>
      <c r="E92" s="440"/>
      <c r="F92" s="440"/>
      <c r="G92" s="440"/>
      <c r="H92" s="440"/>
      <c r="I92" s="440"/>
      <c r="J92" s="440"/>
      <c r="K92" s="440"/>
      <c r="L92" s="440"/>
      <c r="M92" s="440"/>
      <c r="N92" s="440"/>
      <c r="O92" s="401"/>
    </row>
    <row r="93" spans="1:15" s="391" customFormat="1" ht="13.5" customHeight="1">
      <c r="B93" s="425" t="s">
        <v>376</v>
      </c>
      <c r="C93" s="425"/>
      <c r="D93" s="425"/>
      <c r="E93" s="425"/>
      <c r="F93" s="425"/>
      <c r="G93" s="425"/>
      <c r="H93" s="425"/>
      <c r="I93" s="425"/>
      <c r="J93" s="425"/>
      <c r="K93" s="425"/>
      <c r="L93" s="425"/>
      <c r="M93" s="425"/>
      <c r="N93" s="425"/>
    </row>
    <row r="94" spans="1:15" s="391" customFormat="1" ht="23.25" customHeight="1">
      <c r="A94" s="329"/>
      <c r="B94" s="329"/>
      <c r="C94" s="329"/>
      <c r="D94" s="329"/>
      <c r="E94" s="329"/>
      <c r="F94" s="329"/>
      <c r="G94" s="329"/>
      <c r="H94" s="329"/>
      <c r="I94" s="402"/>
      <c r="J94" s="329"/>
      <c r="K94" s="351"/>
      <c r="L94" s="400"/>
      <c r="M94" s="400"/>
    </row>
    <row r="95" spans="1:15" ht="12.75" customHeight="1">
      <c r="L95" s="403"/>
      <c r="M95" s="404"/>
    </row>
    <row r="96" spans="1:15">
      <c r="F96" s="330"/>
      <c r="G96" s="330"/>
      <c r="H96" s="330"/>
      <c r="I96" s="405"/>
      <c r="J96" s="406"/>
      <c r="K96" s="407"/>
      <c r="L96" s="408"/>
      <c r="M96" s="409"/>
    </row>
    <row r="97" spans="6:13">
      <c r="F97" s="330"/>
      <c r="J97" s="362"/>
      <c r="K97" s="362"/>
      <c r="L97" s="408"/>
      <c r="M97" s="409"/>
    </row>
    <row r="98" spans="6:13">
      <c r="J98" s="362"/>
      <c r="K98" s="362"/>
      <c r="L98" s="408"/>
      <c r="M98" s="409"/>
    </row>
    <row r="99" spans="6:13">
      <c r="J99" s="362"/>
      <c r="K99" s="362"/>
      <c r="L99" s="408"/>
      <c r="M99" s="409"/>
    </row>
    <row r="100" spans="6:13">
      <c r="J100" s="362"/>
      <c r="K100" s="362"/>
      <c r="L100" s="360"/>
      <c r="M100" s="409"/>
    </row>
    <row r="101" spans="6:13">
      <c r="J101" s="410"/>
      <c r="K101" s="362"/>
      <c r="L101" s="411"/>
      <c r="M101" s="409"/>
    </row>
    <row r="102" spans="6:13">
      <c r="F102" s="412"/>
      <c r="J102" s="409"/>
      <c r="K102" s="362"/>
      <c r="L102" s="411"/>
      <c r="M102" s="409"/>
    </row>
    <row r="103" spans="6:13">
      <c r="F103" s="412"/>
      <c r="H103" s="351"/>
      <c r="J103" s="409"/>
      <c r="K103" s="362"/>
      <c r="L103" s="411"/>
      <c r="M103" s="409"/>
    </row>
    <row r="104" spans="6:13">
      <c r="F104" s="412"/>
      <c r="J104" s="409"/>
      <c r="K104" s="362"/>
      <c r="L104" s="411"/>
      <c r="M104" s="409"/>
    </row>
    <row r="105" spans="6:13">
      <c r="F105" s="412"/>
      <c r="J105" s="409"/>
      <c r="K105" s="362"/>
      <c r="L105" s="411"/>
      <c r="M105" s="409"/>
    </row>
    <row r="106" spans="6:13">
      <c r="F106" s="412"/>
      <c r="J106" s="409"/>
      <c r="K106" s="362"/>
      <c r="L106" s="411"/>
      <c r="M106" s="409"/>
    </row>
    <row r="107" spans="6:13">
      <c r="F107" s="412"/>
      <c r="J107" s="362"/>
      <c r="K107" s="362"/>
      <c r="L107" s="411"/>
      <c r="M107" s="409"/>
    </row>
    <row r="108" spans="6:13">
      <c r="F108" s="412"/>
      <c r="J108" s="409"/>
      <c r="K108" s="362"/>
      <c r="L108" s="411"/>
      <c r="M108" s="409"/>
    </row>
    <row r="109" spans="6:13">
      <c r="F109" s="412"/>
      <c r="J109" s="409"/>
      <c r="K109" s="362"/>
      <c r="L109" s="411"/>
      <c r="M109" s="409"/>
    </row>
    <row r="110" spans="6:13">
      <c r="F110" s="412"/>
      <c r="J110" s="409"/>
      <c r="K110" s="362"/>
      <c r="L110" s="411"/>
      <c r="M110" s="409"/>
    </row>
    <row r="111" spans="6:13">
      <c r="F111" s="412"/>
      <c r="J111" s="409"/>
      <c r="K111" s="362"/>
      <c r="L111" s="411"/>
      <c r="M111" s="409"/>
    </row>
    <row r="112" spans="6:13">
      <c r="F112" s="412"/>
      <c r="J112" s="409"/>
      <c r="K112" s="362"/>
      <c r="L112" s="411"/>
      <c r="M112" s="409"/>
    </row>
    <row r="113" spans="6:13">
      <c r="F113" s="412"/>
      <c r="J113" s="409"/>
      <c r="K113" s="362"/>
      <c r="L113" s="411"/>
      <c r="M113" s="409"/>
    </row>
    <row r="114" spans="6:13">
      <c r="F114" s="412"/>
      <c r="J114" s="409"/>
      <c r="K114" s="362"/>
      <c r="L114" s="411"/>
      <c r="M114" s="409"/>
    </row>
    <row r="115" spans="6:13">
      <c r="F115" s="412"/>
      <c r="J115" s="409"/>
      <c r="K115" s="362"/>
      <c r="L115" s="411"/>
      <c r="M115" s="409"/>
    </row>
    <row r="116" spans="6:13">
      <c r="F116" s="412"/>
      <c r="J116" s="409"/>
      <c r="K116" s="362"/>
      <c r="L116" s="411"/>
      <c r="M116" s="409"/>
    </row>
    <row r="117" spans="6:13">
      <c r="F117" s="412"/>
      <c r="J117" s="409"/>
      <c r="K117" s="362"/>
      <c r="L117" s="411"/>
      <c r="M117" s="409"/>
    </row>
    <row r="118" spans="6:13">
      <c r="F118" s="412"/>
      <c r="J118" s="409"/>
      <c r="K118" s="362"/>
      <c r="L118" s="411"/>
      <c r="M118" s="409"/>
    </row>
    <row r="119" spans="6:13">
      <c r="F119" s="412"/>
      <c r="J119" s="409"/>
      <c r="K119" s="362"/>
      <c r="L119" s="411"/>
      <c r="M119" s="409"/>
    </row>
    <row r="120" spans="6:13">
      <c r="F120" s="412"/>
      <c r="J120" s="409"/>
      <c r="K120" s="362"/>
      <c r="L120" s="411"/>
      <c r="M120" s="409"/>
    </row>
    <row r="121" spans="6:13">
      <c r="F121" s="412"/>
      <c r="J121" s="409"/>
      <c r="K121" s="362"/>
      <c r="L121" s="411"/>
      <c r="M121" s="409"/>
    </row>
    <row r="122" spans="6:13">
      <c r="F122" s="330"/>
      <c r="J122" s="409"/>
      <c r="K122" s="362"/>
      <c r="L122" s="411"/>
      <c r="M122" s="409"/>
    </row>
    <row r="123" spans="6:13">
      <c r="F123" s="330"/>
      <c r="J123" s="409"/>
      <c r="K123" s="362"/>
      <c r="L123" s="411"/>
      <c r="M123" s="409"/>
    </row>
    <row r="124" spans="6:13">
      <c r="J124" s="409"/>
      <c r="K124" s="362"/>
      <c r="L124" s="411"/>
      <c r="M124" s="409"/>
    </row>
    <row r="125" spans="6:13">
      <c r="J125" s="409"/>
      <c r="K125" s="362"/>
      <c r="L125" s="411"/>
      <c r="M125" s="409"/>
    </row>
    <row r="126" spans="6:13">
      <c r="J126" s="409"/>
      <c r="K126" s="362"/>
      <c r="L126" s="411"/>
      <c r="M126" s="409"/>
    </row>
    <row r="127" spans="6:13">
      <c r="J127" s="409"/>
      <c r="K127" s="362"/>
      <c r="L127" s="411"/>
      <c r="M127" s="409"/>
    </row>
    <row r="128" spans="6:13">
      <c r="J128" s="409"/>
      <c r="K128" s="362"/>
      <c r="L128" s="411"/>
      <c r="M128" s="409"/>
    </row>
    <row r="129" spans="10:13">
      <c r="J129" s="409"/>
      <c r="K129" s="362"/>
      <c r="L129" s="411"/>
      <c r="M129" s="409"/>
    </row>
    <row r="130" spans="10:13">
      <c r="J130" s="409"/>
      <c r="K130" s="362"/>
      <c r="L130" s="411"/>
      <c r="M130" s="409"/>
    </row>
    <row r="131" spans="10:13">
      <c r="J131" s="409"/>
      <c r="K131" s="362"/>
      <c r="L131" s="411"/>
      <c r="M131" s="409"/>
    </row>
    <row r="132" spans="10:13">
      <c r="J132" s="409"/>
      <c r="K132" s="362"/>
      <c r="L132" s="411"/>
      <c r="M132" s="409"/>
    </row>
    <row r="133" spans="10:13">
      <c r="J133" s="409"/>
      <c r="K133" s="362"/>
      <c r="L133" s="411"/>
    </row>
    <row r="134" spans="10:13">
      <c r="L134" s="411"/>
    </row>
    <row r="135" spans="10:13">
      <c r="L135" s="411"/>
    </row>
    <row r="136" spans="10:13">
      <c r="L136" s="411"/>
    </row>
    <row r="137" spans="10:13">
      <c r="L137" s="411"/>
    </row>
    <row r="138" spans="10:13">
      <c r="L138" s="411"/>
    </row>
    <row r="139" spans="10:13">
      <c r="L139" s="411"/>
    </row>
    <row r="140" spans="10:13">
      <c r="L140" s="411"/>
    </row>
    <row r="141" spans="10:13">
      <c r="L141" s="411"/>
    </row>
    <row r="142" spans="10:13">
      <c r="L142" s="411"/>
    </row>
    <row r="143" spans="10:13">
      <c r="L143" s="411"/>
    </row>
    <row r="144" spans="10:13">
      <c r="L144" s="411"/>
    </row>
    <row r="145" spans="12:12">
      <c r="L145" s="411"/>
    </row>
    <row r="146" spans="12:12">
      <c r="L146" s="411"/>
    </row>
    <row r="147" spans="12:12">
      <c r="L147" s="411"/>
    </row>
    <row r="148" spans="12:12">
      <c r="L148" s="411"/>
    </row>
    <row r="149" spans="12:12">
      <c r="L149" s="411"/>
    </row>
    <row r="150" spans="12:12">
      <c r="L150" s="411"/>
    </row>
    <row r="151" spans="12:12">
      <c r="L151" s="411"/>
    </row>
    <row r="152" spans="12:12">
      <c r="L152" s="411"/>
    </row>
    <row r="153" spans="12:12">
      <c r="L153" s="411"/>
    </row>
    <row r="154" spans="12:12">
      <c r="L154" s="411"/>
    </row>
    <row r="155" spans="12:12">
      <c r="L155" s="411"/>
    </row>
    <row r="156" spans="12:12">
      <c r="L156" s="411"/>
    </row>
    <row r="157" spans="12:12">
      <c r="L157" s="411"/>
    </row>
    <row r="158" spans="12:12">
      <c r="L158" s="411"/>
    </row>
    <row r="159" spans="12:12">
      <c r="L159" s="411"/>
    </row>
    <row r="160" spans="12:12">
      <c r="L160" s="411"/>
    </row>
    <row r="161" spans="12:12">
      <c r="L161" s="411"/>
    </row>
    <row r="162" spans="12:12">
      <c r="L162" s="411"/>
    </row>
    <row r="163" spans="12:12">
      <c r="L163" s="411"/>
    </row>
    <row r="164" spans="12:12">
      <c r="L164" s="411"/>
    </row>
    <row r="165" spans="12:12">
      <c r="L165" s="411"/>
    </row>
    <row r="166" spans="12:12">
      <c r="L166" s="411"/>
    </row>
    <row r="167" spans="12:12">
      <c r="L167" s="411"/>
    </row>
    <row r="168" spans="12:12">
      <c r="L168" s="411"/>
    </row>
    <row r="169" spans="12:12">
      <c r="L169" s="411"/>
    </row>
    <row r="170" spans="12:12">
      <c r="L170" s="411"/>
    </row>
    <row r="171" spans="12:12">
      <c r="L171" s="411"/>
    </row>
    <row r="172" spans="12:12">
      <c r="L172" s="411"/>
    </row>
    <row r="173" spans="12:12">
      <c r="L173" s="411"/>
    </row>
    <row r="174" spans="12:12">
      <c r="L174" s="411"/>
    </row>
    <row r="175" spans="12:12">
      <c r="L175" s="411"/>
    </row>
    <row r="176" spans="12:12">
      <c r="L176" s="411"/>
    </row>
    <row r="177" spans="12:12">
      <c r="L177" s="411"/>
    </row>
    <row r="178" spans="12:12">
      <c r="L178" s="411"/>
    </row>
    <row r="179" spans="12:12">
      <c r="L179" s="360"/>
    </row>
  </sheetData>
  <mergeCells count="7">
    <mergeCell ref="B93:N93"/>
    <mergeCell ref="B1:K1"/>
    <mergeCell ref="B2:K2"/>
    <mergeCell ref="B3:K3"/>
    <mergeCell ref="B4:K4"/>
    <mergeCell ref="B5:K5"/>
    <mergeCell ref="B92:N9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4"/>
  <sheetViews>
    <sheetView zoomScale="77" zoomScaleNormal="77" workbookViewId="0">
      <pane ySplit="3" topLeftCell="A4" activePane="bottomLeft" state="frozen"/>
      <selection activeCell="A3" sqref="A3"/>
      <selection pane="bottomLeft" activeCell="Q37" sqref="Q37"/>
    </sheetView>
  </sheetViews>
  <sheetFormatPr defaultRowHeight="15"/>
  <cols>
    <col min="1" max="1" width="34.7109375" customWidth="1"/>
    <col min="2" max="2" width="17.85546875" customWidth="1"/>
    <col min="3" max="3" width="16" customWidth="1"/>
    <col min="4" max="4" width="19.7109375" customWidth="1"/>
    <col min="5" max="5" width="9" customWidth="1"/>
    <col min="6" max="6" width="18.42578125" style="61" customWidth="1"/>
    <col min="7" max="7" width="17.85546875" customWidth="1"/>
    <col min="8" max="8" width="19" customWidth="1"/>
    <col min="9" max="9" width="8.7109375" customWidth="1"/>
    <col min="10" max="10" width="19.42578125" style="90" customWidth="1"/>
    <col min="11" max="11" width="17.5703125" style="90" customWidth="1"/>
    <col min="12" max="12" width="19.85546875" style="90" customWidth="1"/>
    <col min="13" max="13" width="8.28515625" customWidth="1"/>
    <col min="14" max="14" width="18.140625" customWidth="1"/>
    <col min="15" max="15" width="15.140625" customWidth="1"/>
    <col min="16" max="16" width="18.5703125" customWidth="1"/>
  </cols>
  <sheetData>
    <row r="1" spans="1:16">
      <c r="B1" s="443">
        <f ca="1">TODAY()-30</f>
        <v>45348</v>
      </c>
      <c r="C1" s="443"/>
      <c r="D1" s="443"/>
      <c r="E1" s="304"/>
      <c r="F1" s="443">
        <f ca="1">B1</f>
        <v>45348</v>
      </c>
      <c r="G1" s="443"/>
      <c r="H1" s="443"/>
      <c r="I1" s="304"/>
      <c r="J1" s="444">
        <f ca="1">B1</f>
        <v>45348</v>
      </c>
      <c r="K1" s="444"/>
      <c r="L1" s="444"/>
      <c r="M1" s="304"/>
      <c r="N1" s="443">
        <f ca="1">B1+31</f>
        <v>45379</v>
      </c>
      <c r="O1" s="443"/>
      <c r="P1" s="443"/>
    </row>
    <row r="2" spans="1:16">
      <c r="A2" s="89"/>
      <c r="B2" s="442" t="s">
        <v>588</v>
      </c>
      <c r="C2" s="442"/>
      <c r="D2" s="442"/>
      <c r="E2" s="304"/>
      <c r="F2" s="442" t="s">
        <v>589</v>
      </c>
      <c r="G2" s="442"/>
      <c r="H2" s="442"/>
      <c r="I2" s="304"/>
      <c r="J2" s="441" t="str">
        <f>"Total transferido - "&amp;LEFT(B2,2)&amp;" a "&amp;RIGHT(F2,2)</f>
        <v>Total transferido - 01 a 29</v>
      </c>
      <c r="K2" s="441"/>
      <c r="L2" s="441"/>
      <c r="M2" s="304"/>
      <c r="N2" s="441" t="s">
        <v>418</v>
      </c>
      <c r="O2" s="441"/>
      <c r="P2" s="441"/>
    </row>
    <row r="3" spans="1:16">
      <c r="A3" s="91" t="s">
        <v>0</v>
      </c>
      <c r="B3" s="92" t="s">
        <v>83</v>
      </c>
      <c r="C3" s="92" t="s">
        <v>1</v>
      </c>
      <c r="D3" s="92" t="s">
        <v>314</v>
      </c>
      <c r="E3" s="90"/>
      <c r="F3" s="92" t="s">
        <v>83</v>
      </c>
      <c r="G3" s="92" t="s">
        <v>1</v>
      </c>
      <c r="H3" s="92" t="s">
        <v>314</v>
      </c>
      <c r="I3" s="90"/>
      <c r="J3" s="92" t="s">
        <v>83</v>
      </c>
      <c r="K3" s="92" t="s">
        <v>1</v>
      </c>
      <c r="L3" s="92" t="s">
        <v>314</v>
      </c>
      <c r="M3" s="90"/>
      <c r="N3" s="92" t="s">
        <v>83</v>
      </c>
      <c r="O3" s="92" t="s">
        <v>1</v>
      </c>
      <c r="P3" s="92" t="s">
        <v>314</v>
      </c>
    </row>
    <row r="4" spans="1:16">
      <c r="A4" t="s">
        <v>4</v>
      </c>
      <c r="B4" s="3">
        <v>32744.85</v>
      </c>
      <c r="C4" s="3">
        <v>6548.9699999999993</v>
      </c>
      <c r="D4" s="3">
        <v>26195.88</v>
      </c>
      <c r="F4" s="3">
        <v>2695549.21</v>
      </c>
      <c r="G4" s="3">
        <v>539109.84</v>
      </c>
      <c r="H4" s="3">
        <v>2156439.3699999996</v>
      </c>
      <c r="J4" s="183">
        <f>B4+F4</f>
        <v>2728294.06</v>
      </c>
      <c r="K4" s="183">
        <f t="shared" ref="K4:K35" si="0">C4+G4</f>
        <v>545658.80999999994</v>
      </c>
      <c r="L4" s="183">
        <f>J4-K4</f>
        <v>2182635.25</v>
      </c>
      <c r="N4" s="3">
        <v>141239.72</v>
      </c>
      <c r="O4" s="3">
        <v>28247.940000000002</v>
      </c>
      <c r="P4" s="3">
        <v>112991.78</v>
      </c>
    </row>
    <row r="5" spans="1:16">
      <c r="A5" t="s">
        <v>5</v>
      </c>
      <c r="B5" s="3">
        <v>12614.82</v>
      </c>
      <c r="C5" s="3">
        <v>2522.96</v>
      </c>
      <c r="D5" s="3">
        <v>10091.86</v>
      </c>
      <c r="F5" s="3">
        <v>1038449.2699999999</v>
      </c>
      <c r="G5" s="3">
        <v>207689.83000000002</v>
      </c>
      <c r="H5" s="3">
        <v>830759.44</v>
      </c>
      <c r="J5" s="183">
        <f t="shared" ref="J5:J35" si="1">B5+F5</f>
        <v>1051064.0899999999</v>
      </c>
      <c r="K5" s="183">
        <f t="shared" si="0"/>
        <v>210212.79</v>
      </c>
      <c r="L5" s="183">
        <f t="shared" ref="L5:L68" si="2">J5-K5</f>
        <v>840851.29999999981</v>
      </c>
      <c r="N5" s="3">
        <v>54412.020000000004</v>
      </c>
      <c r="O5" s="3">
        <v>10882.41</v>
      </c>
      <c r="P5" s="3">
        <v>43529.609999999993</v>
      </c>
    </row>
    <row r="6" spans="1:16">
      <c r="A6" t="s">
        <v>6</v>
      </c>
      <c r="B6" s="3">
        <v>20577.36</v>
      </c>
      <c r="C6" s="3">
        <v>4115.4799999999996</v>
      </c>
      <c r="D6" s="3">
        <v>16461.879999999997</v>
      </c>
      <c r="F6" s="3">
        <v>1693924.37</v>
      </c>
      <c r="G6" s="3">
        <v>338784.88999999996</v>
      </c>
      <c r="H6" s="3">
        <v>1355139.4799999997</v>
      </c>
      <c r="J6" s="183">
        <f t="shared" si="1"/>
        <v>1714501.7300000002</v>
      </c>
      <c r="K6" s="183">
        <f t="shared" si="0"/>
        <v>342900.36999999994</v>
      </c>
      <c r="L6" s="183">
        <f t="shared" si="2"/>
        <v>1371601.3600000003</v>
      </c>
      <c r="N6" s="3">
        <v>88757.189999999988</v>
      </c>
      <c r="O6" s="3">
        <v>17751.43</v>
      </c>
      <c r="P6" s="3">
        <v>71005.760000000009</v>
      </c>
    </row>
    <row r="7" spans="1:16">
      <c r="A7" t="s">
        <v>7</v>
      </c>
      <c r="B7" s="3">
        <v>20935.23</v>
      </c>
      <c r="C7" s="3">
        <v>4187.0499999999993</v>
      </c>
      <c r="D7" s="3">
        <v>16748.18</v>
      </c>
      <c r="F7" s="3">
        <v>1723383.8999999997</v>
      </c>
      <c r="G7" s="3">
        <v>344676.78000000009</v>
      </c>
      <c r="H7" s="3">
        <v>1378707.12</v>
      </c>
      <c r="J7" s="183">
        <f t="shared" si="1"/>
        <v>1744319.1299999997</v>
      </c>
      <c r="K7" s="183">
        <f t="shared" si="0"/>
        <v>348863.83000000007</v>
      </c>
      <c r="L7" s="183">
        <f t="shared" si="2"/>
        <v>1395455.2999999996</v>
      </c>
      <c r="N7" s="3">
        <v>90300.800000000003</v>
      </c>
      <c r="O7" s="3">
        <v>18060.16</v>
      </c>
      <c r="P7" s="3">
        <v>72240.639999999999</v>
      </c>
    </row>
    <row r="8" spans="1:16">
      <c r="A8" t="s">
        <v>8</v>
      </c>
      <c r="B8" s="3">
        <v>20487.900000000001</v>
      </c>
      <c r="C8" s="3">
        <v>4097.58</v>
      </c>
      <c r="D8" s="3">
        <v>16390.32</v>
      </c>
      <c r="F8" s="3">
        <v>1686559.4800000002</v>
      </c>
      <c r="G8" s="3">
        <v>337311.92</v>
      </c>
      <c r="H8" s="3">
        <v>1349247.5599999998</v>
      </c>
      <c r="J8" s="183">
        <f t="shared" si="1"/>
        <v>1707047.3800000001</v>
      </c>
      <c r="K8" s="183">
        <f t="shared" si="0"/>
        <v>341409.5</v>
      </c>
      <c r="L8" s="183">
        <f t="shared" si="2"/>
        <v>1365637.8800000001</v>
      </c>
      <c r="N8" s="3">
        <v>88371.290000000008</v>
      </c>
      <c r="O8" s="3">
        <v>17674.25</v>
      </c>
      <c r="P8" s="3">
        <v>70697.039999999994</v>
      </c>
    </row>
    <row r="9" spans="1:16">
      <c r="A9" t="s">
        <v>9</v>
      </c>
      <c r="B9" s="3">
        <v>10288.69</v>
      </c>
      <c r="C9" s="3">
        <v>2057.73</v>
      </c>
      <c r="D9" s="3">
        <v>8230.9599999999991</v>
      </c>
      <c r="F9" s="3">
        <v>846962.17</v>
      </c>
      <c r="G9" s="3">
        <v>169392.44</v>
      </c>
      <c r="H9" s="3">
        <v>677569.73</v>
      </c>
      <c r="J9" s="183">
        <f t="shared" si="1"/>
        <v>857250.86</v>
      </c>
      <c r="K9" s="183">
        <f t="shared" si="0"/>
        <v>171450.17</v>
      </c>
      <c r="L9" s="183">
        <f t="shared" si="2"/>
        <v>685800.69</v>
      </c>
      <c r="N9" s="3">
        <v>44378.599999999991</v>
      </c>
      <c r="O9" s="3">
        <v>8875.73</v>
      </c>
      <c r="P9" s="3">
        <v>35502.870000000003</v>
      </c>
    </row>
    <row r="10" spans="1:16">
      <c r="A10" t="s">
        <v>10</v>
      </c>
      <c r="B10" s="3">
        <v>190340.65</v>
      </c>
      <c r="C10" s="3">
        <v>38068.120000000003</v>
      </c>
      <c r="D10" s="3">
        <v>152272.53</v>
      </c>
      <c r="F10" s="3">
        <v>15668800.340000004</v>
      </c>
      <c r="G10" s="3">
        <v>3133760.0500000003</v>
      </c>
      <c r="H10" s="3">
        <v>12535040.290000001</v>
      </c>
      <c r="J10" s="183">
        <f t="shared" si="1"/>
        <v>15859140.990000004</v>
      </c>
      <c r="K10" s="183">
        <f t="shared" si="0"/>
        <v>3171828.1700000004</v>
      </c>
      <c r="L10" s="183">
        <f t="shared" si="2"/>
        <v>12687312.820000004</v>
      </c>
      <c r="N10" s="3">
        <v>821004.06</v>
      </c>
      <c r="O10" s="3">
        <v>164200.81</v>
      </c>
      <c r="P10" s="3">
        <v>656803.25</v>
      </c>
    </row>
    <row r="11" spans="1:16">
      <c r="A11" t="s">
        <v>11</v>
      </c>
      <c r="B11" s="3">
        <v>8409.880000000001</v>
      </c>
      <c r="C11" s="3">
        <v>1681.98</v>
      </c>
      <c r="D11" s="3">
        <v>6727.9</v>
      </c>
      <c r="F11" s="3">
        <v>692299.52</v>
      </c>
      <c r="G11" s="3">
        <v>138459.87999999998</v>
      </c>
      <c r="H11" s="3">
        <v>553839.64000000013</v>
      </c>
      <c r="J11" s="183">
        <f t="shared" si="1"/>
        <v>700709.4</v>
      </c>
      <c r="K11" s="183">
        <f t="shared" si="0"/>
        <v>140141.85999999999</v>
      </c>
      <c r="L11" s="183">
        <f t="shared" si="2"/>
        <v>560567.54</v>
      </c>
      <c r="N11" s="3">
        <v>36274.68</v>
      </c>
      <c r="O11" s="3">
        <v>7254.93</v>
      </c>
      <c r="P11" s="3">
        <v>29019.750000000004</v>
      </c>
    </row>
    <row r="12" spans="1:16">
      <c r="A12" t="s">
        <v>12</v>
      </c>
      <c r="B12" s="3">
        <v>169405.41</v>
      </c>
      <c r="C12" s="3">
        <v>33881.08</v>
      </c>
      <c r="D12" s="3">
        <v>135524.32999999999</v>
      </c>
      <c r="F12" s="3">
        <v>13945416.390000001</v>
      </c>
      <c r="G12" s="3">
        <v>2789083.2899999996</v>
      </c>
      <c r="H12" s="3">
        <v>11156333.1</v>
      </c>
      <c r="J12" s="183">
        <f t="shared" si="1"/>
        <v>14114821.800000001</v>
      </c>
      <c r="K12" s="183">
        <f t="shared" si="0"/>
        <v>2822964.3699999996</v>
      </c>
      <c r="L12" s="183">
        <f t="shared" si="2"/>
        <v>11291857.430000002</v>
      </c>
      <c r="N12" s="3">
        <v>730703.26</v>
      </c>
      <c r="O12" s="3">
        <v>146140.65</v>
      </c>
      <c r="P12" s="3">
        <v>584562.61</v>
      </c>
    </row>
    <row r="13" spans="1:16">
      <c r="A13" t="s">
        <v>13</v>
      </c>
      <c r="B13" s="3">
        <v>14493.630000000001</v>
      </c>
      <c r="C13" s="3">
        <v>2898.73</v>
      </c>
      <c r="D13" s="3">
        <v>11594.9</v>
      </c>
      <c r="F13" s="3">
        <v>1193111.9400000002</v>
      </c>
      <c r="G13" s="3">
        <v>238622.38</v>
      </c>
      <c r="H13" s="3">
        <v>954489.56</v>
      </c>
      <c r="J13" s="183">
        <f t="shared" si="1"/>
        <v>1207605.57</v>
      </c>
      <c r="K13" s="183">
        <f t="shared" si="0"/>
        <v>241521.11000000002</v>
      </c>
      <c r="L13" s="183">
        <f t="shared" si="2"/>
        <v>966084.46000000008</v>
      </c>
      <c r="N13" s="3">
        <v>62515.94</v>
      </c>
      <c r="O13" s="3">
        <v>12503.19</v>
      </c>
      <c r="P13" s="3">
        <v>50012.75</v>
      </c>
    </row>
    <row r="14" spans="1:16">
      <c r="A14" t="s">
        <v>14</v>
      </c>
      <c r="B14" s="3">
        <v>26526.909999999996</v>
      </c>
      <c r="C14" s="3">
        <v>5305.3899999999994</v>
      </c>
      <c r="D14" s="3">
        <v>21221.519999999997</v>
      </c>
      <c r="F14" s="3">
        <v>2183689.4299999997</v>
      </c>
      <c r="G14" s="3">
        <v>436737.87999999995</v>
      </c>
      <c r="H14" s="3">
        <v>1746951.5499999998</v>
      </c>
      <c r="J14" s="183">
        <f t="shared" si="1"/>
        <v>2210216.34</v>
      </c>
      <c r="K14" s="183">
        <f t="shared" si="0"/>
        <v>442043.26999999996</v>
      </c>
      <c r="L14" s="183">
        <f t="shared" si="2"/>
        <v>1768173.0699999998</v>
      </c>
      <c r="N14" s="3">
        <v>114419.59999999999</v>
      </c>
      <c r="O14" s="3">
        <v>22883.919999999998</v>
      </c>
      <c r="P14" s="3">
        <v>91535.679999999993</v>
      </c>
    </row>
    <row r="15" spans="1:16">
      <c r="A15" t="s">
        <v>15</v>
      </c>
      <c r="B15" s="3">
        <v>39544.339999999997</v>
      </c>
      <c r="C15" s="3">
        <v>7908.8600000000006</v>
      </c>
      <c r="D15" s="3">
        <v>31635.480000000003</v>
      </c>
      <c r="F15" s="3">
        <v>3255280.7100000004</v>
      </c>
      <c r="G15" s="3">
        <v>651056.15</v>
      </c>
      <c r="H15" s="3">
        <v>2604224.5599999996</v>
      </c>
      <c r="J15" s="183">
        <f t="shared" si="1"/>
        <v>3294825.0500000003</v>
      </c>
      <c r="K15" s="183">
        <f t="shared" si="0"/>
        <v>658965.01</v>
      </c>
      <c r="L15" s="183">
        <f t="shared" si="2"/>
        <v>2635860.04</v>
      </c>
      <c r="N15" s="3">
        <v>170568.18</v>
      </c>
      <c r="O15" s="3">
        <v>34113.64</v>
      </c>
      <c r="P15" s="3">
        <v>136454.54</v>
      </c>
    </row>
    <row r="16" spans="1:16">
      <c r="A16" t="s">
        <v>73</v>
      </c>
      <c r="B16" s="3">
        <v>18743.309999999998</v>
      </c>
      <c r="C16" s="3">
        <v>3748.66</v>
      </c>
      <c r="D16" s="3">
        <v>14994.65</v>
      </c>
      <c r="F16" s="3">
        <v>1542944.1400000001</v>
      </c>
      <c r="G16" s="3">
        <v>308588.81</v>
      </c>
      <c r="H16" s="3">
        <v>1234355.33</v>
      </c>
      <c r="J16" s="183">
        <f t="shared" si="1"/>
        <v>1561687.4500000002</v>
      </c>
      <c r="K16" s="183">
        <f t="shared" si="0"/>
        <v>312337.46999999997</v>
      </c>
      <c r="L16" s="183">
        <f t="shared" si="2"/>
        <v>1249349.9800000002</v>
      </c>
      <c r="N16" s="3">
        <v>80846.23000000001</v>
      </c>
      <c r="O16" s="3">
        <v>16169.25</v>
      </c>
      <c r="P16" s="3">
        <v>64676.98</v>
      </c>
    </row>
    <row r="17" spans="1:16">
      <c r="A17" t="s">
        <v>16</v>
      </c>
      <c r="B17" s="3">
        <v>7470.48</v>
      </c>
      <c r="C17" s="3">
        <v>1494.1</v>
      </c>
      <c r="D17" s="3">
        <v>5976.38</v>
      </c>
      <c r="F17" s="3">
        <v>614968.22000000009</v>
      </c>
      <c r="G17" s="3">
        <v>122993.63999999998</v>
      </c>
      <c r="H17" s="3">
        <v>491974.58</v>
      </c>
      <c r="J17" s="183">
        <f t="shared" si="1"/>
        <v>622438.70000000007</v>
      </c>
      <c r="K17" s="183">
        <f t="shared" si="0"/>
        <v>124487.73999999999</v>
      </c>
      <c r="L17" s="183">
        <f t="shared" si="2"/>
        <v>497950.96000000008</v>
      </c>
      <c r="N17" s="3">
        <v>32222.719999999998</v>
      </c>
      <c r="O17" s="3">
        <v>6444.54</v>
      </c>
      <c r="P17" s="3">
        <v>25778.179999999997</v>
      </c>
    </row>
    <row r="18" spans="1:16">
      <c r="A18" t="s">
        <v>17</v>
      </c>
      <c r="B18" s="3">
        <v>18609.099999999999</v>
      </c>
      <c r="C18" s="3">
        <v>3721.83</v>
      </c>
      <c r="D18" s="3">
        <v>14887.27</v>
      </c>
      <c r="F18" s="3">
        <v>1531896.8299999996</v>
      </c>
      <c r="G18" s="3">
        <v>306379.36</v>
      </c>
      <c r="H18" s="3">
        <v>1225517.47</v>
      </c>
      <c r="J18" s="183">
        <f t="shared" si="1"/>
        <v>1550505.9299999997</v>
      </c>
      <c r="K18" s="183">
        <f t="shared" si="0"/>
        <v>310101.19</v>
      </c>
      <c r="L18" s="183">
        <f t="shared" si="2"/>
        <v>1240404.7399999998</v>
      </c>
      <c r="N18" s="3">
        <v>80267.38</v>
      </c>
      <c r="O18" s="3">
        <v>16053.47</v>
      </c>
      <c r="P18" s="3">
        <v>64213.91</v>
      </c>
    </row>
    <row r="19" spans="1:16">
      <c r="A19" t="s">
        <v>18</v>
      </c>
      <c r="B19" s="3">
        <v>123330</v>
      </c>
      <c r="C19" s="3">
        <v>24666</v>
      </c>
      <c r="D19" s="3">
        <v>98664</v>
      </c>
      <c r="F19" s="3">
        <v>10152498.829999998</v>
      </c>
      <c r="G19" s="3">
        <v>2030499.7499999995</v>
      </c>
      <c r="H19" s="3">
        <v>8121999.0800000001</v>
      </c>
      <c r="J19" s="183">
        <f t="shared" si="1"/>
        <v>10275828.829999998</v>
      </c>
      <c r="K19" s="183">
        <f t="shared" si="0"/>
        <v>2055165.7499999995</v>
      </c>
      <c r="L19" s="183">
        <f t="shared" si="2"/>
        <v>8220663.0799999982</v>
      </c>
      <c r="N19" s="3">
        <v>531964.31999999995</v>
      </c>
      <c r="O19" s="3">
        <v>106392.87</v>
      </c>
      <c r="P19" s="3">
        <v>425571.45</v>
      </c>
    </row>
    <row r="20" spans="1:16">
      <c r="A20" t="s">
        <v>19</v>
      </c>
      <c r="B20" s="3">
        <v>318591.32999999996</v>
      </c>
      <c r="C20" s="3">
        <v>63718.26</v>
      </c>
      <c r="D20" s="3">
        <v>254873.07</v>
      </c>
      <c r="F20" s="3">
        <v>26226368.009999998</v>
      </c>
      <c r="G20" s="3">
        <v>5245273.6000000006</v>
      </c>
      <c r="H20" s="3">
        <v>20981094.410000004</v>
      </c>
      <c r="J20" s="183">
        <f t="shared" si="1"/>
        <v>26544959.339999996</v>
      </c>
      <c r="K20" s="183">
        <f t="shared" si="0"/>
        <v>5308991.8600000003</v>
      </c>
      <c r="L20" s="183">
        <f t="shared" si="2"/>
        <v>21235967.479999997</v>
      </c>
      <c r="N20" s="3">
        <v>1374192.92</v>
      </c>
      <c r="O20" s="3">
        <v>274838.58</v>
      </c>
      <c r="P20" s="3">
        <v>1099354.3400000001</v>
      </c>
    </row>
    <row r="21" spans="1:16">
      <c r="A21" t="s">
        <v>20</v>
      </c>
      <c r="B21" s="3">
        <v>37083.99</v>
      </c>
      <c r="C21" s="3">
        <v>7416.8</v>
      </c>
      <c r="D21" s="3">
        <v>29667.19</v>
      </c>
      <c r="F21" s="3">
        <v>3052746.3</v>
      </c>
      <c r="G21" s="3">
        <v>610549.25</v>
      </c>
      <c r="H21" s="3">
        <v>2442197.0499999998</v>
      </c>
      <c r="J21" s="183">
        <f t="shared" si="1"/>
        <v>3089830.29</v>
      </c>
      <c r="K21" s="183">
        <f t="shared" si="0"/>
        <v>617966.05000000005</v>
      </c>
      <c r="L21" s="183">
        <f t="shared" si="2"/>
        <v>2471864.2400000002</v>
      </c>
      <c r="N21" s="3">
        <v>159955.89999999997</v>
      </c>
      <c r="O21" s="3">
        <v>31991.18</v>
      </c>
      <c r="P21" s="3">
        <v>127964.72</v>
      </c>
    </row>
    <row r="22" spans="1:16">
      <c r="A22" t="s">
        <v>21</v>
      </c>
      <c r="B22" s="3">
        <v>95774.22</v>
      </c>
      <c r="C22" s="3">
        <v>19154.850000000002</v>
      </c>
      <c r="D22" s="3">
        <v>76619.37</v>
      </c>
      <c r="F22" s="3">
        <v>7884113.1700000018</v>
      </c>
      <c r="G22" s="3">
        <v>1576822.62</v>
      </c>
      <c r="H22" s="3">
        <v>6307290.5499999998</v>
      </c>
      <c r="J22" s="183">
        <f t="shared" si="1"/>
        <v>7979887.3900000015</v>
      </c>
      <c r="K22" s="183">
        <f t="shared" si="0"/>
        <v>1595977.4700000002</v>
      </c>
      <c r="L22" s="183">
        <f t="shared" si="2"/>
        <v>6383909.9200000018</v>
      </c>
      <c r="N22" s="3">
        <v>413106.86</v>
      </c>
      <c r="O22" s="3">
        <v>82621.37</v>
      </c>
      <c r="P22" s="3">
        <v>330485.49</v>
      </c>
    </row>
    <row r="23" spans="1:16">
      <c r="A23" t="s">
        <v>74</v>
      </c>
      <c r="B23" s="3">
        <v>34042.119999999995</v>
      </c>
      <c r="C23" s="3">
        <v>6808.42</v>
      </c>
      <c r="D23" s="3">
        <v>27233.7</v>
      </c>
      <c r="F23" s="3">
        <v>2802340.08</v>
      </c>
      <c r="G23" s="3">
        <v>560468.02</v>
      </c>
      <c r="H23" s="3">
        <v>2241872.06</v>
      </c>
      <c r="J23" s="183">
        <f t="shared" si="1"/>
        <v>2836382.2</v>
      </c>
      <c r="K23" s="183">
        <f t="shared" si="0"/>
        <v>567276.44000000006</v>
      </c>
      <c r="L23" s="183">
        <f t="shared" si="2"/>
        <v>2269105.7600000002</v>
      </c>
      <c r="N23" s="3">
        <v>146835.27000000002</v>
      </c>
      <c r="O23" s="3">
        <v>29367.05</v>
      </c>
      <c r="P23" s="3">
        <v>117468.22</v>
      </c>
    </row>
    <row r="24" spans="1:16">
      <c r="A24" t="s">
        <v>75</v>
      </c>
      <c r="B24" s="3">
        <v>18117.03</v>
      </c>
      <c r="C24" s="3">
        <v>3623.3999999999996</v>
      </c>
      <c r="D24" s="3">
        <v>14493.630000000001</v>
      </c>
      <c r="F24" s="3">
        <v>1491389.9300000002</v>
      </c>
      <c r="G24" s="3">
        <v>298278</v>
      </c>
      <c r="H24" s="3">
        <v>1193111.9300000002</v>
      </c>
      <c r="J24" s="183">
        <f t="shared" si="1"/>
        <v>1509506.9600000002</v>
      </c>
      <c r="K24" s="183">
        <f t="shared" si="0"/>
        <v>301901.40000000002</v>
      </c>
      <c r="L24" s="183">
        <f t="shared" si="2"/>
        <v>1207605.56</v>
      </c>
      <c r="N24" s="3">
        <v>78144.920000000013</v>
      </c>
      <c r="O24" s="3">
        <v>15628.98</v>
      </c>
      <c r="P24" s="3">
        <v>62515.94</v>
      </c>
    </row>
    <row r="25" spans="1:16">
      <c r="A25" t="s">
        <v>76</v>
      </c>
      <c r="B25" s="3">
        <v>8052.01</v>
      </c>
      <c r="C25" s="3">
        <v>1610.4</v>
      </c>
      <c r="D25" s="3">
        <v>6441.6100000000006</v>
      </c>
      <c r="F25" s="3">
        <v>662839.96</v>
      </c>
      <c r="G25" s="3">
        <v>132567.99000000002</v>
      </c>
      <c r="H25" s="3">
        <v>530271.96999999986</v>
      </c>
      <c r="J25" s="183">
        <f t="shared" si="1"/>
        <v>670891.97</v>
      </c>
      <c r="K25" s="183">
        <f t="shared" si="0"/>
        <v>134178.39000000001</v>
      </c>
      <c r="L25" s="183">
        <f t="shared" si="2"/>
        <v>536713.57999999996</v>
      </c>
      <c r="N25" s="3">
        <v>34731.08</v>
      </c>
      <c r="O25" s="3">
        <v>6946.22</v>
      </c>
      <c r="P25" s="3">
        <v>27784.86</v>
      </c>
    </row>
    <row r="26" spans="1:16">
      <c r="A26" t="s">
        <v>22</v>
      </c>
      <c r="B26" s="3">
        <v>53993.22</v>
      </c>
      <c r="C26" s="3">
        <v>10798.64</v>
      </c>
      <c r="D26" s="3">
        <v>43194.58</v>
      </c>
      <c r="F26" s="3">
        <v>4444710.2399999993</v>
      </c>
      <c r="G26" s="3">
        <v>888942.04999999993</v>
      </c>
      <c r="H26" s="3">
        <v>3555768.19</v>
      </c>
      <c r="J26" s="183">
        <f t="shared" si="1"/>
        <v>4498703.459999999</v>
      </c>
      <c r="K26" s="183">
        <f t="shared" si="0"/>
        <v>899740.69</v>
      </c>
      <c r="L26" s="183">
        <f t="shared" si="2"/>
        <v>3598962.7699999991</v>
      </c>
      <c r="N26" s="3">
        <v>232891.17</v>
      </c>
      <c r="O26" s="3">
        <v>46578.229999999996</v>
      </c>
      <c r="P26" s="3">
        <v>186312.94</v>
      </c>
    </row>
    <row r="27" spans="1:16">
      <c r="A27" t="s">
        <v>23</v>
      </c>
      <c r="B27" s="3">
        <v>11541.210000000001</v>
      </c>
      <c r="C27" s="3">
        <v>2308.25</v>
      </c>
      <c r="D27" s="3">
        <v>9232.9599999999991</v>
      </c>
      <c r="F27" s="3">
        <v>950070.62999999989</v>
      </c>
      <c r="G27" s="3">
        <v>190014.12000000002</v>
      </c>
      <c r="H27" s="3">
        <v>760056.51000000024</v>
      </c>
      <c r="J27" s="183">
        <f t="shared" si="1"/>
        <v>961611.83999999985</v>
      </c>
      <c r="K27" s="183">
        <f t="shared" si="0"/>
        <v>192322.37000000002</v>
      </c>
      <c r="L27" s="183">
        <f t="shared" si="2"/>
        <v>769289.46999999986</v>
      </c>
      <c r="N27" s="3">
        <v>49781.21</v>
      </c>
      <c r="O27" s="3">
        <v>9956.24</v>
      </c>
      <c r="P27" s="3">
        <v>39824.97</v>
      </c>
    </row>
    <row r="28" spans="1:16">
      <c r="A28" t="s">
        <v>24</v>
      </c>
      <c r="B28" s="3">
        <v>31313.38</v>
      </c>
      <c r="C28" s="3">
        <v>6262.68</v>
      </c>
      <c r="D28" s="3">
        <v>25050.699999999997</v>
      </c>
      <c r="F28" s="3">
        <v>2577711</v>
      </c>
      <c r="G28" s="3">
        <v>515542.18000000005</v>
      </c>
      <c r="H28" s="3">
        <v>2062168.8200000003</v>
      </c>
      <c r="J28" s="183">
        <f t="shared" si="1"/>
        <v>2609024.38</v>
      </c>
      <c r="K28" s="183">
        <f t="shared" si="0"/>
        <v>521804.86000000004</v>
      </c>
      <c r="L28" s="183">
        <f t="shared" si="2"/>
        <v>2087219.5199999998</v>
      </c>
      <c r="N28" s="3">
        <v>135065.29999999999</v>
      </c>
      <c r="O28" s="3">
        <v>27013.06</v>
      </c>
      <c r="P28" s="3">
        <v>108052.24</v>
      </c>
    </row>
    <row r="29" spans="1:16">
      <c r="A29" t="s">
        <v>25</v>
      </c>
      <c r="B29" s="3">
        <v>11988.56</v>
      </c>
      <c r="C29" s="3">
        <v>2397.7199999999998</v>
      </c>
      <c r="D29" s="3">
        <v>9590.84</v>
      </c>
      <c r="F29" s="3">
        <v>986895.04999999993</v>
      </c>
      <c r="G29" s="3">
        <v>197379.01</v>
      </c>
      <c r="H29" s="3">
        <v>789516.04</v>
      </c>
      <c r="J29" s="183">
        <f t="shared" si="1"/>
        <v>998883.61</v>
      </c>
      <c r="K29" s="183">
        <f t="shared" si="0"/>
        <v>199776.73</v>
      </c>
      <c r="L29" s="183">
        <f t="shared" si="2"/>
        <v>799106.88</v>
      </c>
      <c r="N29" s="3">
        <v>51710.71</v>
      </c>
      <c r="O29" s="3">
        <v>10342.14</v>
      </c>
      <c r="P29" s="3">
        <v>41368.57</v>
      </c>
    </row>
    <row r="30" spans="1:16">
      <c r="A30" t="s">
        <v>26</v>
      </c>
      <c r="B30" s="3">
        <v>21874.639999999999</v>
      </c>
      <c r="C30" s="3">
        <v>4374.93</v>
      </c>
      <c r="D30" s="3">
        <v>17499.71</v>
      </c>
      <c r="F30" s="3">
        <v>1800715.2300000002</v>
      </c>
      <c r="G30" s="3">
        <v>360143.04</v>
      </c>
      <c r="H30" s="3">
        <v>1440572.1899999997</v>
      </c>
      <c r="J30" s="183">
        <f t="shared" si="1"/>
        <v>1822589.87</v>
      </c>
      <c r="K30" s="183">
        <f t="shared" si="0"/>
        <v>364517.97</v>
      </c>
      <c r="L30" s="183">
        <f t="shared" si="2"/>
        <v>1458071.9000000001</v>
      </c>
      <c r="N30" s="3">
        <v>94352.75</v>
      </c>
      <c r="O30" s="3">
        <v>18870.559999999998</v>
      </c>
      <c r="P30" s="3">
        <v>75482.19</v>
      </c>
    </row>
    <row r="31" spans="1:16">
      <c r="A31" t="s">
        <v>77</v>
      </c>
      <c r="B31" s="3">
        <v>15075.16</v>
      </c>
      <c r="C31" s="3">
        <v>3015.0299999999997</v>
      </c>
      <c r="D31" s="3">
        <v>12060.13</v>
      </c>
      <c r="F31" s="3">
        <v>1240983.73</v>
      </c>
      <c r="G31" s="3">
        <v>248196.75000000006</v>
      </c>
      <c r="H31" s="3">
        <v>992786.9800000001</v>
      </c>
      <c r="J31" s="183">
        <f t="shared" si="1"/>
        <v>1256058.8899999999</v>
      </c>
      <c r="K31" s="183">
        <f t="shared" si="0"/>
        <v>251211.78000000006</v>
      </c>
      <c r="L31" s="183">
        <f t="shared" si="2"/>
        <v>1004847.1099999999</v>
      </c>
      <c r="N31" s="3">
        <v>65024.3</v>
      </c>
      <c r="O31" s="3">
        <v>13004.86</v>
      </c>
      <c r="P31" s="3">
        <v>52019.44</v>
      </c>
    </row>
    <row r="32" spans="1:16">
      <c r="A32" t="s">
        <v>27</v>
      </c>
      <c r="B32" s="3">
        <v>32431.72</v>
      </c>
      <c r="C32" s="3">
        <v>6486.34</v>
      </c>
      <c r="D32" s="3">
        <v>25945.379999999997</v>
      </c>
      <c r="F32" s="3">
        <v>2669772.0799999996</v>
      </c>
      <c r="G32" s="3">
        <v>533954.41</v>
      </c>
      <c r="H32" s="3">
        <v>2135817.6700000004</v>
      </c>
      <c r="J32" s="183">
        <f t="shared" si="1"/>
        <v>2702203.8</v>
      </c>
      <c r="K32" s="183">
        <f t="shared" si="0"/>
        <v>540440.75</v>
      </c>
      <c r="L32" s="183">
        <f t="shared" si="2"/>
        <v>2161763.0499999998</v>
      </c>
      <c r="N32" s="3">
        <v>139889.06</v>
      </c>
      <c r="O32" s="3">
        <v>27977.81</v>
      </c>
      <c r="P32" s="3">
        <v>111911.25</v>
      </c>
    </row>
    <row r="33" spans="1:16">
      <c r="A33" t="s">
        <v>28</v>
      </c>
      <c r="B33" s="3">
        <v>14896.220000000001</v>
      </c>
      <c r="C33" s="3">
        <v>2979.25</v>
      </c>
      <c r="D33" s="3">
        <v>11916.97</v>
      </c>
      <c r="F33" s="3">
        <v>1226253.9499999997</v>
      </c>
      <c r="G33" s="3">
        <v>245250.8</v>
      </c>
      <c r="H33" s="3">
        <v>981003.14999999991</v>
      </c>
      <c r="J33" s="183">
        <f t="shared" si="1"/>
        <v>1241150.1699999997</v>
      </c>
      <c r="K33" s="183">
        <f t="shared" si="0"/>
        <v>248230.05</v>
      </c>
      <c r="L33" s="183">
        <f t="shared" si="2"/>
        <v>992920.11999999965</v>
      </c>
      <c r="N33" s="3">
        <v>64252.5</v>
      </c>
      <c r="O33" s="3">
        <v>12850.51</v>
      </c>
      <c r="P33" s="3">
        <v>51401.99</v>
      </c>
    </row>
    <row r="34" spans="1:16">
      <c r="A34" t="s">
        <v>78</v>
      </c>
      <c r="B34" s="3">
        <v>10154.49</v>
      </c>
      <c r="C34" s="3">
        <v>2030.8899999999999</v>
      </c>
      <c r="D34" s="3">
        <v>8123.5999999999995</v>
      </c>
      <c r="F34" s="3">
        <v>835914.8600000001</v>
      </c>
      <c r="G34" s="3">
        <v>167182.98000000004</v>
      </c>
      <c r="H34" s="3">
        <v>668731.88000000012</v>
      </c>
      <c r="J34" s="183">
        <f t="shared" si="1"/>
        <v>846069.35000000009</v>
      </c>
      <c r="K34" s="183">
        <f t="shared" si="0"/>
        <v>169213.87000000005</v>
      </c>
      <c r="L34" s="183">
        <f t="shared" si="2"/>
        <v>676855.48</v>
      </c>
      <c r="N34" s="3">
        <v>43799.74</v>
      </c>
      <c r="O34" s="3">
        <v>8759.9499999999989</v>
      </c>
      <c r="P34" s="3">
        <v>35039.79</v>
      </c>
    </row>
    <row r="35" spans="1:16">
      <c r="A35" t="s">
        <v>29</v>
      </c>
      <c r="B35" s="3">
        <v>10467.619999999999</v>
      </c>
      <c r="C35" s="3">
        <v>2093.52</v>
      </c>
      <c r="D35" s="3">
        <v>8374.0999999999985</v>
      </c>
      <c r="F35" s="3">
        <v>861691.95999999985</v>
      </c>
      <c r="G35" s="3">
        <v>172338.40000000002</v>
      </c>
      <c r="H35" s="3">
        <v>689353.56000000017</v>
      </c>
      <c r="J35" s="183">
        <f t="shared" si="1"/>
        <v>872159.57999999984</v>
      </c>
      <c r="K35" s="183">
        <f t="shared" si="0"/>
        <v>174431.92</v>
      </c>
      <c r="L35" s="183">
        <f t="shared" si="2"/>
        <v>697727.6599999998</v>
      </c>
      <c r="N35" s="3">
        <v>45150.39</v>
      </c>
      <c r="O35" s="3">
        <v>9030.07</v>
      </c>
      <c r="P35" s="3">
        <v>36120.32</v>
      </c>
    </row>
    <row r="36" spans="1:16">
      <c r="A36" t="s">
        <v>30</v>
      </c>
      <c r="B36" s="3">
        <v>12838.49</v>
      </c>
      <c r="C36" s="3">
        <v>2567.6999999999998</v>
      </c>
      <c r="D36" s="3">
        <v>10270.790000000001</v>
      </c>
      <c r="F36" s="3">
        <v>1056861.49</v>
      </c>
      <c r="G36" s="3">
        <v>211372.29000000004</v>
      </c>
      <c r="H36" s="3">
        <v>845489.20000000019</v>
      </c>
      <c r="J36" s="183">
        <f t="shared" ref="J36:J67" si="3">B36+F36</f>
        <v>1069699.98</v>
      </c>
      <c r="K36" s="183">
        <f t="shared" ref="K36:K67" si="4">C36+G36</f>
        <v>213939.99000000005</v>
      </c>
      <c r="L36" s="183">
        <f t="shared" si="2"/>
        <v>855759.99</v>
      </c>
      <c r="N36" s="3">
        <v>55376.770000000004</v>
      </c>
      <c r="O36" s="3">
        <v>11075.349999999999</v>
      </c>
      <c r="P36" s="3">
        <v>44301.420000000006</v>
      </c>
    </row>
    <row r="37" spans="1:16">
      <c r="A37" t="s">
        <v>31</v>
      </c>
      <c r="B37" s="3">
        <v>12883.220000000001</v>
      </c>
      <c r="C37" s="3">
        <v>2576.64</v>
      </c>
      <c r="D37" s="3">
        <v>10306.58</v>
      </c>
      <c r="F37" s="3">
        <v>1060543.9399999997</v>
      </c>
      <c r="G37" s="3">
        <v>212108.79</v>
      </c>
      <c r="H37" s="3">
        <v>848435.15</v>
      </c>
      <c r="J37" s="183">
        <f t="shared" si="3"/>
        <v>1073427.1599999997</v>
      </c>
      <c r="K37" s="183">
        <f t="shared" si="4"/>
        <v>214685.43000000002</v>
      </c>
      <c r="L37" s="183">
        <f t="shared" si="2"/>
        <v>858741.72999999963</v>
      </c>
      <c r="N37" s="3">
        <v>55569.710000000006</v>
      </c>
      <c r="O37" s="3">
        <v>11113.93</v>
      </c>
      <c r="P37" s="3">
        <v>44455.78</v>
      </c>
    </row>
    <row r="38" spans="1:16">
      <c r="A38" t="s">
        <v>79</v>
      </c>
      <c r="B38" s="3">
        <v>15119.890000000001</v>
      </c>
      <c r="C38" s="3">
        <v>3023.98</v>
      </c>
      <c r="D38" s="3">
        <v>12095.91</v>
      </c>
      <c r="F38" s="3">
        <v>1244666.1699999997</v>
      </c>
      <c r="G38" s="3">
        <v>248933.25999999995</v>
      </c>
      <c r="H38" s="3">
        <v>995732.90999999992</v>
      </c>
      <c r="J38" s="183">
        <f t="shared" si="3"/>
        <v>1259786.0599999996</v>
      </c>
      <c r="K38" s="183">
        <f t="shared" si="4"/>
        <v>251957.23999999996</v>
      </c>
      <c r="L38" s="183">
        <f t="shared" si="2"/>
        <v>1007828.8199999996</v>
      </c>
      <c r="N38" s="3">
        <v>65217.24</v>
      </c>
      <c r="O38" s="3">
        <v>13043.439999999999</v>
      </c>
      <c r="P38" s="3">
        <v>52173.8</v>
      </c>
    </row>
    <row r="39" spans="1:16">
      <c r="A39" t="s">
        <v>32</v>
      </c>
      <c r="B39" s="3">
        <v>170210.62</v>
      </c>
      <c r="C39" s="3">
        <v>34042.119999999995</v>
      </c>
      <c r="D39" s="3">
        <v>136168.5</v>
      </c>
      <c r="F39" s="3">
        <v>14011700.4</v>
      </c>
      <c r="G39" s="3">
        <v>2802340.08</v>
      </c>
      <c r="H39" s="3">
        <v>11209360.32</v>
      </c>
      <c r="J39" s="183">
        <f t="shared" si="3"/>
        <v>14181911.02</v>
      </c>
      <c r="K39" s="183">
        <f t="shared" si="4"/>
        <v>2836382.2</v>
      </c>
      <c r="L39" s="183">
        <f t="shared" si="2"/>
        <v>11345528.82</v>
      </c>
      <c r="N39" s="3">
        <v>734176.36</v>
      </c>
      <c r="O39" s="3">
        <v>146835.27000000002</v>
      </c>
      <c r="P39" s="3">
        <v>587341.09000000008</v>
      </c>
    </row>
    <row r="40" spans="1:16">
      <c r="A40" t="s">
        <v>33</v>
      </c>
      <c r="B40" s="3">
        <v>15790.89</v>
      </c>
      <c r="C40" s="3">
        <v>3158.18</v>
      </c>
      <c r="D40" s="3">
        <v>12632.710000000001</v>
      </c>
      <c r="F40" s="3">
        <v>1299902.8500000003</v>
      </c>
      <c r="G40" s="3">
        <v>259980.58</v>
      </c>
      <c r="H40" s="3">
        <v>1039922.2699999999</v>
      </c>
      <c r="J40" s="183">
        <f t="shared" si="3"/>
        <v>1315693.7400000002</v>
      </c>
      <c r="K40" s="183">
        <f t="shared" si="4"/>
        <v>263138.76</v>
      </c>
      <c r="L40" s="183">
        <f t="shared" si="2"/>
        <v>1052554.9800000002</v>
      </c>
      <c r="N40" s="3">
        <v>68111.5</v>
      </c>
      <c r="O40" s="3">
        <v>13622.3</v>
      </c>
      <c r="P40" s="3">
        <v>54489.2</v>
      </c>
    </row>
    <row r="41" spans="1:16">
      <c r="A41" t="s">
        <v>34</v>
      </c>
      <c r="B41" s="3">
        <v>20979.97</v>
      </c>
      <c r="C41" s="3">
        <v>4196</v>
      </c>
      <c r="D41" s="3">
        <v>16783.969999999998</v>
      </c>
      <c r="F41" s="3">
        <v>1727066.35</v>
      </c>
      <c r="G41" s="3">
        <v>345413.26000000007</v>
      </c>
      <c r="H41" s="3">
        <v>1381653.0900000003</v>
      </c>
      <c r="J41" s="183">
        <f t="shared" si="3"/>
        <v>1748046.32</v>
      </c>
      <c r="K41" s="183">
        <f t="shared" si="4"/>
        <v>349609.26000000007</v>
      </c>
      <c r="L41" s="183">
        <f t="shared" si="2"/>
        <v>1398437.06</v>
      </c>
      <c r="N41" s="3">
        <v>90493.75</v>
      </c>
      <c r="O41" s="3">
        <v>18098.75</v>
      </c>
      <c r="P41" s="3">
        <v>72395</v>
      </c>
    </row>
    <row r="42" spans="1:16">
      <c r="A42" t="s">
        <v>35</v>
      </c>
      <c r="B42" s="3">
        <v>48043.69</v>
      </c>
      <c r="C42" s="3">
        <v>9608.7400000000016</v>
      </c>
      <c r="D42" s="3">
        <v>38434.949999999997</v>
      </c>
      <c r="F42" s="3">
        <v>3954945.1499999994</v>
      </c>
      <c r="G42" s="3">
        <v>790989.02</v>
      </c>
      <c r="H42" s="3">
        <v>3163956.1300000004</v>
      </c>
      <c r="J42" s="183">
        <f t="shared" si="3"/>
        <v>4002988.8399999994</v>
      </c>
      <c r="K42" s="183">
        <f t="shared" si="4"/>
        <v>800597.76</v>
      </c>
      <c r="L42" s="183">
        <f t="shared" si="2"/>
        <v>3202391.0799999991</v>
      </c>
      <c r="N42" s="3">
        <v>207228.75</v>
      </c>
      <c r="O42" s="3">
        <v>41445.75</v>
      </c>
      <c r="P42" s="3">
        <v>165783</v>
      </c>
    </row>
    <row r="43" spans="1:16">
      <c r="A43" t="s">
        <v>36</v>
      </c>
      <c r="B43" s="3">
        <v>8991.41</v>
      </c>
      <c r="C43" s="3">
        <v>1798.2800000000002</v>
      </c>
      <c r="D43" s="3">
        <v>7193.13</v>
      </c>
      <c r="F43" s="3">
        <v>740171.28</v>
      </c>
      <c r="G43" s="3">
        <v>148034.26</v>
      </c>
      <c r="H43" s="3">
        <v>592137.0199999999</v>
      </c>
      <c r="J43" s="183">
        <f t="shared" si="3"/>
        <v>749162.69000000006</v>
      </c>
      <c r="K43" s="183">
        <f t="shared" si="4"/>
        <v>149832.54</v>
      </c>
      <c r="L43" s="183">
        <f t="shared" si="2"/>
        <v>599330.15</v>
      </c>
      <c r="N43" s="3">
        <v>38783.040000000001</v>
      </c>
      <c r="O43" s="3">
        <v>7756.5999999999995</v>
      </c>
      <c r="P43" s="3">
        <v>31026.44</v>
      </c>
    </row>
    <row r="44" spans="1:16">
      <c r="A44" t="s">
        <v>37</v>
      </c>
      <c r="B44" s="3">
        <v>17132.89</v>
      </c>
      <c r="C44" s="3">
        <v>3426.58</v>
      </c>
      <c r="D44" s="3">
        <v>13706.310000000001</v>
      </c>
      <c r="F44" s="3">
        <v>1410376.1400000001</v>
      </c>
      <c r="G44" s="3">
        <v>282075.23000000004</v>
      </c>
      <c r="H44" s="3">
        <v>1128300.9099999999</v>
      </c>
      <c r="J44" s="183">
        <f t="shared" si="3"/>
        <v>1427509.03</v>
      </c>
      <c r="K44" s="183">
        <f t="shared" si="4"/>
        <v>285501.81000000006</v>
      </c>
      <c r="L44" s="183">
        <f t="shared" si="2"/>
        <v>1142007.22</v>
      </c>
      <c r="N44" s="3">
        <v>73900.010000000009</v>
      </c>
      <c r="O44" s="3">
        <v>14780.01</v>
      </c>
      <c r="P44" s="3">
        <v>59120</v>
      </c>
    </row>
    <row r="45" spans="1:16">
      <c r="A45" t="s">
        <v>38</v>
      </c>
      <c r="B45" s="3">
        <v>16864.489999999998</v>
      </c>
      <c r="C45" s="3">
        <v>3372.8999999999996</v>
      </c>
      <c r="D45" s="3">
        <v>13491.59</v>
      </c>
      <c r="F45" s="3">
        <v>1388281.4900000005</v>
      </c>
      <c r="G45" s="3">
        <v>277656.3</v>
      </c>
      <c r="H45" s="3">
        <v>1110625.19</v>
      </c>
      <c r="J45" s="183">
        <f t="shared" si="3"/>
        <v>1405145.9800000004</v>
      </c>
      <c r="K45" s="183">
        <f t="shared" si="4"/>
        <v>281029.2</v>
      </c>
      <c r="L45" s="183">
        <f t="shared" si="2"/>
        <v>1124116.7800000005</v>
      </c>
      <c r="N45" s="3">
        <v>72742.31</v>
      </c>
      <c r="O45" s="3">
        <v>14548.470000000001</v>
      </c>
      <c r="P45" s="3">
        <v>58193.840000000004</v>
      </c>
    </row>
    <row r="46" spans="1:16">
      <c r="A46" t="s">
        <v>39</v>
      </c>
      <c r="B46" s="3">
        <v>208010.34</v>
      </c>
      <c r="C46" s="3">
        <v>41602.07</v>
      </c>
      <c r="D46" s="3">
        <v>166408.27000000002</v>
      </c>
      <c r="F46" s="3">
        <v>17123365.82</v>
      </c>
      <c r="G46" s="3">
        <v>3424673.15</v>
      </c>
      <c r="H46" s="3">
        <v>13698692.669999998</v>
      </c>
      <c r="J46" s="183">
        <f t="shared" si="3"/>
        <v>17331376.16</v>
      </c>
      <c r="K46" s="183">
        <f t="shared" si="4"/>
        <v>3466275.2199999997</v>
      </c>
      <c r="L46" s="183">
        <f t="shared" si="2"/>
        <v>13865100.940000001</v>
      </c>
      <c r="N46" s="3">
        <v>897219.4800000001</v>
      </c>
      <c r="O46" s="3">
        <v>179443.9</v>
      </c>
      <c r="P46" s="3">
        <v>717775.58000000007</v>
      </c>
    </row>
    <row r="47" spans="1:16">
      <c r="A47" t="s">
        <v>40</v>
      </c>
      <c r="B47" s="3">
        <v>11183.35</v>
      </c>
      <c r="C47" s="3">
        <v>2236.67</v>
      </c>
      <c r="D47" s="3">
        <v>8946.68</v>
      </c>
      <c r="F47" s="3">
        <v>920611.05</v>
      </c>
      <c r="G47" s="3">
        <v>184122.22</v>
      </c>
      <c r="H47" s="3">
        <v>736488.83</v>
      </c>
      <c r="J47" s="183">
        <f t="shared" si="3"/>
        <v>931794.4</v>
      </c>
      <c r="K47" s="183">
        <f t="shared" si="4"/>
        <v>186358.89</v>
      </c>
      <c r="L47" s="183">
        <f t="shared" si="2"/>
        <v>745435.51</v>
      </c>
      <c r="N47" s="3">
        <v>48237.599999999999</v>
      </c>
      <c r="O47" s="3">
        <v>9647.52</v>
      </c>
      <c r="P47" s="3">
        <v>38590.080000000002</v>
      </c>
    </row>
    <row r="48" spans="1:16">
      <c r="A48" t="s">
        <v>41</v>
      </c>
      <c r="B48" s="3">
        <v>27555.770000000004</v>
      </c>
      <c r="C48" s="3">
        <v>5511.16</v>
      </c>
      <c r="D48" s="3">
        <v>22044.61</v>
      </c>
      <c r="F48" s="3">
        <v>2268385.6399999997</v>
      </c>
      <c r="G48" s="3">
        <v>453677.13</v>
      </c>
      <c r="H48" s="3">
        <v>1814708.51</v>
      </c>
      <c r="J48" s="183">
        <f t="shared" si="3"/>
        <v>2295941.4099999997</v>
      </c>
      <c r="K48" s="183">
        <f t="shared" si="4"/>
        <v>459188.29</v>
      </c>
      <c r="L48" s="183">
        <f t="shared" si="2"/>
        <v>1836753.1199999996</v>
      </c>
      <c r="N48" s="3">
        <v>118857.46</v>
      </c>
      <c r="O48" s="3">
        <v>23771.49</v>
      </c>
      <c r="P48" s="3">
        <v>95085.97</v>
      </c>
    </row>
    <row r="49" spans="1:16">
      <c r="A49" t="s">
        <v>42</v>
      </c>
      <c r="B49" s="3">
        <v>25363.85</v>
      </c>
      <c r="C49" s="3">
        <v>5072.7700000000004</v>
      </c>
      <c r="D49" s="3">
        <v>20291.080000000002</v>
      </c>
      <c r="F49" s="3">
        <v>2087945.91</v>
      </c>
      <c r="G49" s="3">
        <v>417589.19</v>
      </c>
      <c r="H49" s="3">
        <v>1670356.72</v>
      </c>
      <c r="J49" s="183">
        <f t="shared" si="3"/>
        <v>2113309.7599999998</v>
      </c>
      <c r="K49" s="183">
        <f t="shared" si="4"/>
        <v>422661.96</v>
      </c>
      <c r="L49" s="183">
        <f t="shared" si="2"/>
        <v>1690647.7999999998</v>
      </c>
      <c r="N49" s="3">
        <v>109402.89000000001</v>
      </c>
      <c r="O49" s="3">
        <v>21880.58</v>
      </c>
      <c r="P49" s="3">
        <v>87522.31</v>
      </c>
    </row>
    <row r="50" spans="1:16">
      <c r="A50" t="s">
        <v>43</v>
      </c>
      <c r="B50" s="3">
        <v>20577.36</v>
      </c>
      <c r="C50" s="3">
        <v>4115.4799999999996</v>
      </c>
      <c r="D50" s="3">
        <v>16461.879999999997</v>
      </c>
      <c r="F50" s="3">
        <v>1693924.37</v>
      </c>
      <c r="G50" s="3">
        <v>338784.88999999996</v>
      </c>
      <c r="H50" s="3">
        <v>1355139.4799999997</v>
      </c>
      <c r="J50" s="183">
        <f t="shared" si="3"/>
        <v>1714501.7300000002</v>
      </c>
      <c r="K50" s="183">
        <f t="shared" si="4"/>
        <v>342900.36999999994</v>
      </c>
      <c r="L50" s="183">
        <f t="shared" si="2"/>
        <v>1371601.3600000003</v>
      </c>
      <c r="N50" s="3">
        <v>88757.189999999988</v>
      </c>
      <c r="O50" s="3">
        <v>17751.43</v>
      </c>
      <c r="P50" s="3">
        <v>71005.760000000009</v>
      </c>
    </row>
    <row r="51" spans="1:16">
      <c r="A51" t="s">
        <v>44</v>
      </c>
      <c r="B51" s="3">
        <v>21248.37</v>
      </c>
      <c r="C51" s="3">
        <v>4249.68</v>
      </c>
      <c r="D51" s="3">
        <v>16998.689999999999</v>
      </c>
      <c r="F51" s="3">
        <v>1749161.0299999996</v>
      </c>
      <c r="G51" s="3">
        <v>349832.21</v>
      </c>
      <c r="H51" s="3">
        <v>1399328.8199999996</v>
      </c>
      <c r="J51" s="183">
        <f t="shared" si="3"/>
        <v>1770409.3999999997</v>
      </c>
      <c r="K51" s="183">
        <f t="shared" si="4"/>
        <v>354081.89</v>
      </c>
      <c r="L51" s="183">
        <f t="shared" si="2"/>
        <v>1416327.5099999998</v>
      </c>
      <c r="N51" s="3">
        <v>91651.449999999983</v>
      </c>
      <c r="O51" s="3">
        <v>18330.29</v>
      </c>
      <c r="P51" s="3">
        <v>73321.16</v>
      </c>
    </row>
    <row r="52" spans="1:16">
      <c r="A52" t="s">
        <v>45</v>
      </c>
      <c r="B52" s="3">
        <v>23619.239999999998</v>
      </c>
      <c r="C52" s="3">
        <v>4723.8499999999995</v>
      </c>
      <c r="D52" s="3">
        <v>18895.39</v>
      </c>
      <c r="F52" s="3">
        <v>1944330.5699999998</v>
      </c>
      <c r="G52" s="3">
        <v>388866.11</v>
      </c>
      <c r="H52" s="3">
        <v>1555464.46</v>
      </c>
      <c r="J52" s="183">
        <f t="shared" si="3"/>
        <v>1967949.8099999998</v>
      </c>
      <c r="K52" s="183">
        <f t="shared" si="4"/>
        <v>393589.95999999996</v>
      </c>
      <c r="L52" s="183">
        <f t="shared" si="2"/>
        <v>1574359.8499999999</v>
      </c>
      <c r="N52" s="3">
        <v>101877.82</v>
      </c>
      <c r="O52" s="3">
        <v>20375.560000000001</v>
      </c>
      <c r="P52" s="3">
        <v>81502.260000000009</v>
      </c>
    </row>
    <row r="53" spans="1:16">
      <c r="A53" t="s">
        <v>46</v>
      </c>
      <c r="B53" s="3">
        <v>13106.880000000001</v>
      </c>
      <c r="C53" s="3">
        <v>2621.38</v>
      </c>
      <c r="D53" s="3">
        <v>10485.5</v>
      </c>
      <c r="F53" s="3">
        <v>1078956.1499999999</v>
      </c>
      <c r="G53" s="3">
        <v>215791.22999999998</v>
      </c>
      <c r="H53" s="3">
        <v>863164.92</v>
      </c>
      <c r="J53" s="183">
        <f t="shared" si="3"/>
        <v>1092063.0299999998</v>
      </c>
      <c r="K53" s="183">
        <f t="shared" si="4"/>
        <v>218412.61</v>
      </c>
      <c r="L53" s="183">
        <f t="shared" si="2"/>
        <v>873650.41999999981</v>
      </c>
      <c r="N53" s="3">
        <v>56534.47</v>
      </c>
      <c r="O53" s="3">
        <v>11306.890000000001</v>
      </c>
      <c r="P53" s="3">
        <v>45227.58</v>
      </c>
    </row>
    <row r="54" spans="1:16">
      <c r="A54" t="s">
        <v>47</v>
      </c>
      <c r="B54" s="3">
        <v>23171.9</v>
      </c>
      <c r="C54" s="3">
        <v>4634.38</v>
      </c>
      <c r="D54" s="3">
        <v>18537.52</v>
      </c>
      <c r="F54" s="3">
        <v>1907506.1400000001</v>
      </c>
      <c r="G54" s="3">
        <v>381501.24</v>
      </c>
      <c r="H54" s="3">
        <v>1526004.9000000001</v>
      </c>
      <c r="J54" s="183">
        <f t="shared" si="3"/>
        <v>1930678.04</v>
      </c>
      <c r="K54" s="183">
        <f t="shared" si="4"/>
        <v>386135.62</v>
      </c>
      <c r="L54" s="183">
        <f t="shared" si="2"/>
        <v>1544542.42</v>
      </c>
      <c r="N54" s="3">
        <v>99948.319999999978</v>
      </c>
      <c r="O54" s="3">
        <v>19989.66</v>
      </c>
      <c r="P54" s="3">
        <v>79958.66</v>
      </c>
    </row>
    <row r="55" spans="1:16">
      <c r="A55" t="s">
        <v>48</v>
      </c>
      <c r="B55" s="3">
        <v>11943.82</v>
      </c>
      <c r="C55" s="3">
        <v>2388.7600000000002</v>
      </c>
      <c r="D55" s="3">
        <v>9555.06</v>
      </c>
      <c r="F55" s="3">
        <v>983212.6399999999</v>
      </c>
      <c r="G55" s="3">
        <v>196642.52999999997</v>
      </c>
      <c r="H55" s="3">
        <v>786570.10999999987</v>
      </c>
      <c r="J55" s="183">
        <f t="shared" si="3"/>
        <v>995156.45999999985</v>
      </c>
      <c r="K55" s="183">
        <f t="shared" si="4"/>
        <v>199031.28999999998</v>
      </c>
      <c r="L55" s="183">
        <f t="shared" si="2"/>
        <v>796125.16999999993</v>
      </c>
      <c r="N55" s="3">
        <v>51517.759999999995</v>
      </c>
      <c r="O55" s="3">
        <v>10303.550000000001</v>
      </c>
      <c r="P55" s="3">
        <v>41214.210000000006</v>
      </c>
    </row>
    <row r="56" spans="1:16">
      <c r="A56" t="s">
        <v>49</v>
      </c>
      <c r="B56" s="3">
        <v>58556.03</v>
      </c>
      <c r="C56" s="3">
        <v>11711.2</v>
      </c>
      <c r="D56" s="3">
        <v>46844.83</v>
      </c>
      <c r="F56" s="3">
        <v>4820319.5500000007</v>
      </c>
      <c r="G56" s="3">
        <v>964063.90999999968</v>
      </c>
      <c r="H56" s="3">
        <v>3856255.6399999997</v>
      </c>
      <c r="J56" s="183">
        <f t="shared" si="3"/>
        <v>4878875.580000001</v>
      </c>
      <c r="K56" s="183">
        <f t="shared" si="4"/>
        <v>975775.10999999964</v>
      </c>
      <c r="L56" s="183">
        <f t="shared" si="2"/>
        <v>3903100.4700000016</v>
      </c>
      <c r="N56" s="3">
        <v>252572.1</v>
      </c>
      <c r="O56" s="3">
        <v>50514.42</v>
      </c>
      <c r="P56" s="3">
        <v>202057.68</v>
      </c>
    </row>
    <row r="57" spans="1:16">
      <c r="A57" t="s">
        <v>50</v>
      </c>
      <c r="B57" s="3">
        <v>20308.97</v>
      </c>
      <c r="C57" s="3">
        <v>4061.7999999999997</v>
      </c>
      <c r="D57" s="3">
        <v>16247.17</v>
      </c>
      <c r="F57" s="3">
        <v>1671829.6800000002</v>
      </c>
      <c r="G57" s="3">
        <v>334365.95000000007</v>
      </c>
      <c r="H57" s="3">
        <v>1337463.7300000002</v>
      </c>
      <c r="J57" s="183">
        <f t="shared" si="3"/>
        <v>1692138.6500000001</v>
      </c>
      <c r="K57" s="183">
        <f t="shared" si="4"/>
        <v>338427.75000000006</v>
      </c>
      <c r="L57" s="183">
        <f t="shared" si="2"/>
        <v>1353710.9000000001</v>
      </c>
      <c r="N57" s="3">
        <v>87599.49</v>
      </c>
      <c r="O57" s="3">
        <v>17519.900000000001</v>
      </c>
      <c r="P57" s="3">
        <v>70079.59</v>
      </c>
    </row>
    <row r="58" spans="1:16">
      <c r="A58" t="s">
        <v>51</v>
      </c>
      <c r="B58" s="3">
        <v>14135.75</v>
      </c>
      <c r="C58" s="3">
        <v>2827.1499999999996</v>
      </c>
      <c r="D58" s="3">
        <v>11308.6</v>
      </c>
      <c r="F58" s="3">
        <v>1163652.3800000004</v>
      </c>
      <c r="G58" s="3">
        <v>232730.46999999994</v>
      </c>
      <c r="H58" s="3">
        <v>930921.9099999998</v>
      </c>
      <c r="J58" s="183">
        <f t="shared" si="3"/>
        <v>1177788.1300000004</v>
      </c>
      <c r="K58" s="183">
        <f t="shared" si="4"/>
        <v>235557.61999999994</v>
      </c>
      <c r="L58" s="183">
        <f t="shared" si="2"/>
        <v>942230.51000000047</v>
      </c>
      <c r="N58" s="3">
        <v>60972.34</v>
      </c>
      <c r="O58" s="3">
        <v>12194.470000000001</v>
      </c>
      <c r="P58" s="3">
        <v>48777.87</v>
      </c>
    </row>
    <row r="59" spans="1:16">
      <c r="A59" t="s">
        <v>80</v>
      </c>
      <c r="B59" s="3">
        <v>34086.85</v>
      </c>
      <c r="C59" s="3">
        <v>6817.38</v>
      </c>
      <c r="D59" s="3">
        <v>27269.47</v>
      </c>
      <c r="F59" s="3">
        <v>2806022.52</v>
      </c>
      <c r="G59" s="3">
        <v>561204.52</v>
      </c>
      <c r="H59" s="3">
        <v>2244818.0000000005</v>
      </c>
      <c r="J59" s="183">
        <f t="shared" si="3"/>
        <v>2840109.37</v>
      </c>
      <c r="K59" s="183">
        <f t="shared" si="4"/>
        <v>568021.9</v>
      </c>
      <c r="L59" s="183">
        <f t="shared" si="2"/>
        <v>2272087.4700000002</v>
      </c>
      <c r="N59" s="3">
        <v>147028.23000000001</v>
      </c>
      <c r="O59" s="3">
        <v>29405.65</v>
      </c>
      <c r="P59" s="3">
        <v>117622.57999999999</v>
      </c>
    </row>
    <row r="60" spans="1:16">
      <c r="A60" t="s">
        <v>53</v>
      </c>
      <c r="B60" s="3">
        <v>11630.69</v>
      </c>
      <c r="C60" s="3">
        <v>2326.14</v>
      </c>
      <c r="D60" s="3">
        <v>9304.5499999999993</v>
      </c>
      <c r="F60" s="3">
        <v>957435.50000000012</v>
      </c>
      <c r="G60" s="3">
        <v>191487.08999999997</v>
      </c>
      <c r="H60" s="3">
        <v>765948.40999999992</v>
      </c>
      <c r="J60" s="183">
        <f t="shared" si="3"/>
        <v>969066.19000000006</v>
      </c>
      <c r="K60" s="183">
        <f t="shared" si="4"/>
        <v>193813.22999999998</v>
      </c>
      <c r="L60" s="183">
        <f t="shared" si="2"/>
        <v>775252.96000000008</v>
      </c>
      <c r="N60" s="3">
        <v>50167.11</v>
      </c>
      <c r="O60" s="3">
        <v>10033.42</v>
      </c>
      <c r="P60" s="3">
        <v>40133.69</v>
      </c>
    </row>
    <row r="61" spans="1:16">
      <c r="A61" t="s">
        <v>54</v>
      </c>
      <c r="B61" s="3">
        <v>9572.9599999999991</v>
      </c>
      <c r="C61" s="3">
        <v>1914.6</v>
      </c>
      <c r="D61" s="3">
        <v>7658.3600000000006</v>
      </c>
      <c r="F61" s="3">
        <v>788043.05999999994</v>
      </c>
      <c r="G61" s="3">
        <v>157608.61000000002</v>
      </c>
      <c r="H61" s="3">
        <v>630434.44999999995</v>
      </c>
      <c r="J61" s="183">
        <f t="shared" si="3"/>
        <v>797616.0199999999</v>
      </c>
      <c r="K61" s="183">
        <f t="shared" si="4"/>
        <v>159523.21000000002</v>
      </c>
      <c r="L61" s="183">
        <f t="shared" si="2"/>
        <v>638092.80999999982</v>
      </c>
      <c r="N61" s="3">
        <v>41291.380000000005</v>
      </c>
      <c r="O61" s="3">
        <v>8258.2800000000007</v>
      </c>
      <c r="P61" s="3">
        <v>33033.1</v>
      </c>
    </row>
    <row r="62" spans="1:16">
      <c r="A62" t="s">
        <v>55</v>
      </c>
      <c r="B62" s="3">
        <v>17490.760000000002</v>
      </c>
      <c r="C62" s="3">
        <v>3498.16</v>
      </c>
      <c r="D62" s="3">
        <v>13992.599999999999</v>
      </c>
      <c r="F62" s="3">
        <v>1439835.72</v>
      </c>
      <c r="G62" s="3">
        <v>287967.12999999995</v>
      </c>
      <c r="H62" s="3">
        <v>1151868.5899999996</v>
      </c>
      <c r="J62" s="183">
        <f t="shared" si="3"/>
        <v>1457326.48</v>
      </c>
      <c r="K62" s="183">
        <f t="shared" si="4"/>
        <v>291465.28999999992</v>
      </c>
      <c r="L62" s="183">
        <f t="shared" si="2"/>
        <v>1165861.19</v>
      </c>
      <c r="N62" s="3">
        <v>75443.61</v>
      </c>
      <c r="O62" s="3">
        <v>15088.710000000001</v>
      </c>
      <c r="P62" s="3">
        <v>60354.899999999994</v>
      </c>
    </row>
    <row r="63" spans="1:16">
      <c r="A63" t="s">
        <v>56</v>
      </c>
      <c r="B63" s="3">
        <v>40394.26</v>
      </c>
      <c r="C63" s="3">
        <v>8078.85</v>
      </c>
      <c r="D63" s="3">
        <v>32315.41</v>
      </c>
      <c r="F63" s="3">
        <v>3325247.19</v>
      </c>
      <c r="G63" s="3">
        <v>665049.44999999984</v>
      </c>
      <c r="H63" s="3">
        <v>2660197.7400000002</v>
      </c>
      <c r="J63" s="183">
        <f t="shared" si="3"/>
        <v>3365641.4499999997</v>
      </c>
      <c r="K63" s="183">
        <f t="shared" si="4"/>
        <v>673128.29999999981</v>
      </c>
      <c r="L63" s="183">
        <f t="shared" si="2"/>
        <v>2692513.15</v>
      </c>
      <c r="N63" s="3">
        <v>174234.23</v>
      </c>
      <c r="O63" s="3">
        <v>34846.85</v>
      </c>
      <c r="P63" s="3">
        <v>139387.38</v>
      </c>
    </row>
    <row r="64" spans="1:16">
      <c r="A64" t="s">
        <v>57</v>
      </c>
      <c r="B64" s="3">
        <v>11585.96</v>
      </c>
      <c r="C64" s="3">
        <v>2317.19</v>
      </c>
      <c r="D64" s="3">
        <v>9268.77</v>
      </c>
      <c r="F64" s="3">
        <v>953753.05</v>
      </c>
      <c r="G64" s="3">
        <v>190750.63999999996</v>
      </c>
      <c r="H64" s="3">
        <v>763002.41</v>
      </c>
      <c r="J64" s="183">
        <f t="shared" si="3"/>
        <v>965339.01</v>
      </c>
      <c r="K64" s="183">
        <f t="shared" si="4"/>
        <v>193067.82999999996</v>
      </c>
      <c r="L64" s="183">
        <f t="shared" si="2"/>
        <v>772271.18</v>
      </c>
      <c r="N64" s="3">
        <v>49974.159999999996</v>
      </c>
      <c r="O64" s="3">
        <v>9994.83</v>
      </c>
      <c r="P64" s="3">
        <v>39979.33</v>
      </c>
    </row>
    <row r="65" spans="1:16">
      <c r="A65" t="s">
        <v>58</v>
      </c>
      <c r="B65" s="3">
        <v>23485.040000000001</v>
      </c>
      <c r="C65" s="3">
        <v>4697.01</v>
      </c>
      <c r="D65" s="3">
        <v>18788.03</v>
      </c>
      <c r="F65" s="3">
        <v>1933283.2400000002</v>
      </c>
      <c r="G65" s="3">
        <v>386656.66999999993</v>
      </c>
      <c r="H65" s="3">
        <v>1546626.5699999996</v>
      </c>
      <c r="J65" s="183">
        <f t="shared" si="3"/>
        <v>1956768.2800000003</v>
      </c>
      <c r="K65" s="183">
        <f t="shared" si="4"/>
        <v>391353.67999999993</v>
      </c>
      <c r="L65" s="183">
        <f t="shared" si="2"/>
        <v>1565414.6000000003</v>
      </c>
      <c r="N65" s="3">
        <v>101298.98</v>
      </c>
      <c r="O65" s="3">
        <v>20259.8</v>
      </c>
      <c r="P65" s="3">
        <v>81039.179999999993</v>
      </c>
    </row>
    <row r="66" spans="1:16">
      <c r="A66" t="s">
        <v>59</v>
      </c>
      <c r="B66" s="3">
        <v>104676.17</v>
      </c>
      <c r="C66" s="3">
        <v>20935.23</v>
      </c>
      <c r="D66" s="3">
        <v>83740.94</v>
      </c>
      <c r="F66" s="3">
        <v>8616919.5699999984</v>
      </c>
      <c r="G66" s="3">
        <v>1723383.8999999997</v>
      </c>
      <c r="H66" s="3">
        <v>6893535.6699999999</v>
      </c>
      <c r="J66" s="183">
        <f t="shared" si="3"/>
        <v>8721595.7399999984</v>
      </c>
      <c r="K66" s="183">
        <f t="shared" si="4"/>
        <v>1744319.1299999997</v>
      </c>
      <c r="L66" s="183">
        <f t="shared" si="2"/>
        <v>6977276.6099999985</v>
      </c>
      <c r="N66" s="3">
        <v>451504</v>
      </c>
      <c r="O66" s="3">
        <v>90300.800000000003</v>
      </c>
      <c r="P66" s="3">
        <v>361203.20000000001</v>
      </c>
    </row>
    <row r="67" spans="1:16">
      <c r="A67" t="s">
        <v>60</v>
      </c>
      <c r="B67" s="3">
        <v>28137.32</v>
      </c>
      <c r="C67" s="3">
        <v>5627.47</v>
      </c>
      <c r="D67" s="3">
        <v>22509.85</v>
      </c>
      <c r="F67" s="3">
        <v>2316257.4400000004</v>
      </c>
      <c r="G67" s="3">
        <v>463251.51</v>
      </c>
      <c r="H67" s="3">
        <v>1853005.93</v>
      </c>
      <c r="J67" s="183">
        <f t="shared" si="3"/>
        <v>2344394.7600000002</v>
      </c>
      <c r="K67" s="183">
        <f t="shared" si="4"/>
        <v>468878.98</v>
      </c>
      <c r="L67" s="183">
        <f t="shared" si="2"/>
        <v>1875515.7800000003</v>
      </c>
      <c r="N67" s="3">
        <v>121365.81999999999</v>
      </c>
      <c r="O67" s="3">
        <v>24273.159999999996</v>
      </c>
      <c r="P67" s="3">
        <v>97092.659999999989</v>
      </c>
    </row>
    <row r="68" spans="1:16">
      <c r="A68" t="s">
        <v>61</v>
      </c>
      <c r="B68" s="3">
        <v>18072.3</v>
      </c>
      <c r="C68" s="3">
        <v>3614.46</v>
      </c>
      <c r="D68" s="3">
        <v>14457.84</v>
      </c>
      <c r="F68" s="3">
        <v>1487707.4899999998</v>
      </c>
      <c r="G68" s="3">
        <v>297541.5</v>
      </c>
      <c r="H68" s="3">
        <v>1190165.99</v>
      </c>
      <c r="J68" s="183">
        <f t="shared" ref="J68:J80" si="5">B68+F68</f>
        <v>1505779.7899999998</v>
      </c>
      <c r="K68" s="183">
        <f t="shared" ref="K68:K81" si="6">C68+G68</f>
        <v>301155.96000000002</v>
      </c>
      <c r="L68" s="183">
        <f t="shared" si="2"/>
        <v>1204623.8299999998</v>
      </c>
      <c r="N68" s="3">
        <v>77951.969999999987</v>
      </c>
      <c r="O68" s="3">
        <v>15590.39</v>
      </c>
      <c r="P68" s="3">
        <v>62361.579999999994</v>
      </c>
    </row>
    <row r="69" spans="1:16">
      <c r="A69" t="s">
        <v>81</v>
      </c>
      <c r="B69" s="3">
        <v>35876.19</v>
      </c>
      <c r="C69" s="3">
        <v>7175.24</v>
      </c>
      <c r="D69" s="3">
        <v>28700.949999999997</v>
      </c>
      <c r="F69" s="3">
        <v>2953320.2999999993</v>
      </c>
      <c r="G69" s="3">
        <v>590664.03</v>
      </c>
      <c r="H69" s="3">
        <v>2362656.27</v>
      </c>
      <c r="J69" s="183">
        <f t="shared" si="5"/>
        <v>2989196.4899999993</v>
      </c>
      <c r="K69" s="183">
        <f t="shared" si="6"/>
        <v>597839.27</v>
      </c>
      <c r="L69" s="183">
        <f t="shared" ref="L69:L81" si="7">J69-K69</f>
        <v>2391357.2199999993</v>
      </c>
      <c r="N69" s="3">
        <v>154746.23999999999</v>
      </c>
      <c r="O69" s="3">
        <v>30949.249999999996</v>
      </c>
      <c r="P69" s="3">
        <v>123796.99</v>
      </c>
    </row>
    <row r="70" spans="1:16">
      <c r="A70" t="s">
        <v>82</v>
      </c>
      <c r="B70" s="3">
        <v>10467.619999999999</v>
      </c>
      <c r="C70" s="3">
        <v>2093.52</v>
      </c>
      <c r="D70" s="3">
        <v>8374.0999999999985</v>
      </c>
      <c r="F70" s="3">
        <v>861691.95999999985</v>
      </c>
      <c r="G70" s="3">
        <v>172338.40000000002</v>
      </c>
      <c r="H70" s="3">
        <v>689353.56000000017</v>
      </c>
      <c r="J70" s="183">
        <f t="shared" si="5"/>
        <v>872159.57999999984</v>
      </c>
      <c r="K70" s="183">
        <f t="shared" si="6"/>
        <v>174431.92</v>
      </c>
      <c r="L70" s="183">
        <f t="shared" si="7"/>
        <v>697727.6599999998</v>
      </c>
      <c r="N70" s="3">
        <v>45150.39</v>
      </c>
      <c r="O70" s="3">
        <v>9030.07</v>
      </c>
      <c r="P70" s="3">
        <v>36120.32</v>
      </c>
    </row>
    <row r="71" spans="1:16">
      <c r="A71" t="s">
        <v>62</v>
      </c>
      <c r="B71" s="3">
        <v>87319.61</v>
      </c>
      <c r="C71" s="3">
        <v>17463.919999999998</v>
      </c>
      <c r="D71" s="3">
        <v>69855.69</v>
      </c>
      <c r="F71" s="3">
        <v>7188131.1900000004</v>
      </c>
      <c r="G71" s="3">
        <v>1437626.2599999998</v>
      </c>
      <c r="H71" s="3">
        <v>5750504.9299999997</v>
      </c>
      <c r="J71" s="183">
        <f t="shared" si="5"/>
        <v>7275450.8000000007</v>
      </c>
      <c r="K71" s="183">
        <f t="shared" si="6"/>
        <v>1455090.1799999997</v>
      </c>
      <c r="L71" s="183">
        <f t="shared" si="7"/>
        <v>5820360.620000001</v>
      </c>
      <c r="N71" s="3">
        <v>376639.23</v>
      </c>
      <c r="O71" s="3">
        <v>75327.839999999997</v>
      </c>
      <c r="P71" s="3">
        <v>301311.39</v>
      </c>
    </row>
    <row r="72" spans="1:16">
      <c r="A72" t="s">
        <v>63</v>
      </c>
      <c r="B72" s="3">
        <v>13285.83</v>
      </c>
      <c r="C72" s="3">
        <v>2657.17</v>
      </c>
      <c r="D72" s="3">
        <v>10628.66</v>
      </c>
      <c r="F72" s="3">
        <v>1093685.96</v>
      </c>
      <c r="G72" s="3">
        <v>218737.18999999997</v>
      </c>
      <c r="H72" s="3">
        <v>874948.7699999999</v>
      </c>
      <c r="J72" s="183">
        <f t="shared" si="5"/>
        <v>1106971.79</v>
      </c>
      <c r="K72" s="183">
        <f t="shared" si="6"/>
        <v>221394.36</v>
      </c>
      <c r="L72" s="183">
        <f t="shared" si="7"/>
        <v>885577.43</v>
      </c>
      <c r="N72" s="3">
        <v>57306.27</v>
      </c>
      <c r="O72" s="3">
        <v>11461.259999999998</v>
      </c>
      <c r="P72" s="3">
        <v>45845.01</v>
      </c>
    </row>
    <row r="73" spans="1:16">
      <c r="A73" t="s">
        <v>64</v>
      </c>
      <c r="B73" s="3">
        <v>657089.01</v>
      </c>
      <c r="C73" s="3">
        <v>131417.81</v>
      </c>
      <c r="D73" s="3">
        <v>525671.19999999995</v>
      </c>
      <c r="F73" s="3">
        <v>54091423.74000001</v>
      </c>
      <c r="G73" s="3">
        <v>10818284.730000002</v>
      </c>
      <c r="H73" s="3">
        <v>43273139.009999998</v>
      </c>
      <c r="J73" s="183">
        <f t="shared" si="5"/>
        <v>54748512.750000007</v>
      </c>
      <c r="K73" s="183">
        <f t="shared" si="6"/>
        <v>10949702.540000003</v>
      </c>
      <c r="L73" s="183">
        <f t="shared" si="7"/>
        <v>43798810.210000008</v>
      </c>
      <c r="N73" s="3">
        <v>2834248.79</v>
      </c>
      <c r="O73" s="3">
        <v>566849.75</v>
      </c>
      <c r="P73" s="3">
        <v>2267399.04</v>
      </c>
    </row>
    <row r="74" spans="1:16">
      <c r="A74" t="s">
        <v>65</v>
      </c>
      <c r="B74" s="3">
        <v>32565.919999999998</v>
      </c>
      <c r="C74" s="3">
        <v>6513.18</v>
      </c>
      <c r="D74" s="3">
        <v>26052.739999999998</v>
      </c>
      <c r="F74" s="3">
        <v>2680819.4300000006</v>
      </c>
      <c r="G74" s="3">
        <v>536163.9</v>
      </c>
      <c r="H74" s="3">
        <v>2144655.5299999998</v>
      </c>
      <c r="J74" s="183">
        <f t="shared" si="5"/>
        <v>2713385.3500000006</v>
      </c>
      <c r="K74" s="183">
        <f t="shared" si="6"/>
        <v>542677.08000000007</v>
      </c>
      <c r="L74" s="183">
        <f t="shared" si="7"/>
        <v>2170708.2700000005</v>
      </c>
      <c r="N74" s="3">
        <v>140467.91</v>
      </c>
      <c r="O74" s="3">
        <v>28093.589999999997</v>
      </c>
      <c r="P74" s="3">
        <v>112374.32</v>
      </c>
    </row>
    <row r="75" spans="1:16">
      <c r="A75" t="s">
        <v>66</v>
      </c>
      <c r="B75" s="3">
        <v>21740.43</v>
      </c>
      <c r="C75" s="3">
        <v>4348.09</v>
      </c>
      <c r="D75" s="3">
        <v>17392.34</v>
      </c>
      <c r="F75" s="3">
        <v>1789667.9299999997</v>
      </c>
      <c r="G75" s="3">
        <v>357933.59</v>
      </c>
      <c r="H75" s="3">
        <v>1431734.34</v>
      </c>
      <c r="J75" s="183">
        <f t="shared" si="5"/>
        <v>1811408.3599999996</v>
      </c>
      <c r="K75" s="183">
        <f t="shared" si="6"/>
        <v>362281.68000000005</v>
      </c>
      <c r="L75" s="183">
        <f t="shared" si="7"/>
        <v>1449126.6799999997</v>
      </c>
      <c r="N75" s="3">
        <v>93773.91</v>
      </c>
      <c r="O75" s="3">
        <v>18754.79</v>
      </c>
      <c r="P75" s="3">
        <v>75019.12</v>
      </c>
    </row>
    <row r="76" spans="1:16">
      <c r="A76" t="s">
        <v>67</v>
      </c>
      <c r="B76" s="3">
        <v>27689.979999999996</v>
      </c>
      <c r="C76" s="3">
        <v>5537.99</v>
      </c>
      <c r="D76" s="3">
        <v>22151.989999999998</v>
      </c>
      <c r="F76" s="3">
        <v>2279432.9999999995</v>
      </c>
      <c r="G76" s="3">
        <v>455886.61000000004</v>
      </c>
      <c r="H76" s="3">
        <v>1823546.3900000001</v>
      </c>
      <c r="J76" s="183">
        <f t="shared" si="5"/>
        <v>2307122.9799999995</v>
      </c>
      <c r="K76" s="183">
        <f t="shared" si="6"/>
        <v>461424.60000000003</v>
      </c>
      <c r="L76" s="183">
        <f t="shared" si="7"/>
        <v>1845698.3799999994</v>
      </c>
      <c r="N76" s="3">
        <v>119436.31</v>
      </c>
      <c r="O76" s="3">
        <v>23887.26</v>
      </c>
      <c r="P76" s="3">
        <v>95549.049999999988</v>
      </c>
    </row>
    <row r="77" spans="1:16">
      <c r="A77" t="s">
        <v>68</v>
      </c>
      <c r="B77" s="3">
        <v>126282.41</v>
      </c>
      <c r="C77" s="3">
        <v>25256.48</v>
      </c>
      <c r="D77" s="3">
        <v>101025.93</v>
      </c>
      <c r="F77" s="3">
        <v>10395540.139999999</v>
      </c>
      <c r="G77" s="3">
        <v>2079108.02</v>
      </c>
      <c r="H77" s="3">
        <v>8316432.1199999992</v>
      </c>
      <c r="J77" s="183">
        <f t="shared" si="5"/>
        <v>10521822.549999999</v>
      </c>
      <c r="K77" s="183">
        <f t="shared" si="6"/>
        <v>2104364.5</v>
      </c>
      <c r="L77" s="183">
        <f t="shared" si="7"/>
        <v>8417458.0499999989</v>
      </c>
      <c r="N77" s="3">
        <v>544699.05000000005</v>
      </c>
      <c r="O77" s="3">
        <v>108939.81000000001</v>
      </c>
      <c r="P77" s="3">
        <v>435759.24</v>
      </c>
    </row>
    <row r="78" spans="1:16">
      <c r="A78" t="s">
        <v>69</v>
      </c>
      <c r="B78" s="3">
        <v>14001.56</v>
      </c>
      <c r="C78" s="3">
        <v>2800.3100000000004</v>
      </c>
      <c r="D78" s="3">
        <v>11201.25</v>
      </c>
      <c r="F78" s="3">
        <v>1152605.0499999998</v>
      </c>
      <c r="G78" s="3">
        <v>230521</v>
      </c>
      <c r="H78" s="3">
        <v>922084.04999999993</v>
      </c>
      <c r="J78" s="183">
        <f t="shared" si="5"/>
        <v>1166606.6099999999</v>
      </c>
      <c r="K78" s="183">
        <f t="shared" si="6"/>
        <v>233321.31</v>
      </c>
      <c r="L78" s="183">
        <f t="shared" si="7"/>
        <v>933285.29999999981</v>
      </c>
      <c r="N78" s="3">
        <v>60393.479999999996</v>
      </c>
      <c r="O78" s="3">
        <v>12078.689999999999</v>
      </c>
      <c r="P78" s="3">
        <v>48314.79</v>
      </c>
    </row>
    <row r="79" spans="1:16">
      <c r="A79" t="s">
        <v>70</v>
      </c>
      <c r="B79" s="3">
        <v>28763.57</v>
      </c>
      <c r="C79" s="3">
        <v>5752.7199999999993</v>
      </c>
      <c r="D79" s="3">
        <v>23010.85</v>
      </c>
      <c r="F79" s="3">
        <v>2367811.6800000002</v>
      </c>
      <c r="G79" s="3">
        <v>473562.34</v>
      </c>
      <c r="H79" s="3">
        <v>1894249.3400000003</v>
      </c>
      <c r="J79" s="183">
        <f t="shared" si="5"/>
        <v>2396575.25</v>
      </c>
      <c r="K79" s="183">
        <f t="shared" si="6"/>
        <v>479315.06</v>
      </c>
      <c r="L79" s="183">
        <f t="shared" si="7"/>
        <v>1917260.19</v>
      </c>
      <c r="N79" s="3">
        <v>124067.12</v>
      </c>
      <c r="O79" s="3">
        <v>24813.43</v>
      </c>
      <c r="P79" s="3">
        <v>99253.69</v>
      </c>
    </row>
    <row r="80" spans="1:16">
      <c r="A80" t="s">
        <v>71</v>
      </c>
      <c r="B80" s="3">
        <v>222325.03</v>
      </c>
      <c r="C80" s="3">
        <v>44465.009999999995</v>
      </c>
      <c r="D80" s="3">
        <v>177860.02</v>
      </c>
      <c r="F80" s="3">
        <v>18301747.969999995</v>
      </c>
      <c r="G80" s="3">
        <v>3660349.59</v>
      </c>
      <c r="H80" s="3">
        <v>14641398.379999999</v>
      </c>
      <c r="J80" s="183">
        <f t="shared" si="5"/>
        <v>18524072.999999996</v>
      </c>
      <c r="K80" s="183">
        <f t="shared" si="6"/>
        <v>3704814.5999999996</v>
      </c>
      <c r="L80" s="183">
        <f t="shared" si="7"/>
        <v>14819258.399999997</v>
      </c>
      <c r="N80" s="3">
        <v>958963.61</v>
      </c>
      <c r="O80" s="3">
        <v>191792.72</v>
      </c>
      <c r="P80" s="3">
        <v>767170.89</v>
      </c>
    </row>
    <row r="81" spans="1:16">
      <c r="A81" t="s">
        <v>72</v>
      </c>
      <c r="B81" s="3">
        <v>619244.54999999993</v>
      </c>
      <c r="C81" s="3">
        <v>123848.82999999999</v>
      </c>
      <c r="D81" s="3">
        <v>495395.72</v>
      </c>
      <c r="F81" s="3">
        <v>50976075.710000001</v>
      </c>
      <c r="G81" s="3">
        <v>10195215.039999999</v>
      </c>
      <c r="H81" s="3">
        <v>40780860.669999987</v>
      </c>
      <c r="J81" s="183">
        <f>B81+F81</f>
        <v>51595320.259999998</v>
      </c>
      <c r="K81" s="183">
        <f t="shared" si="6"/>
        <v>10319063.869999999</v>
      </c>
      <c r="L81" s="183">
        <f t="shared" si="7"/>
        <v>41276256.390000001</v>
      </c>
      <c r="N81" s="3">
        <v>2671012.7799999998</v>
      </c>
      <c r="O81" s="3">
        <v>534202.59</v>
      </c>
      <c r="P81" s="3">
        <v>2136810.19</v>
      </c>
    </row>
    <row r="82" spans="1:16">
      <c r="A82" s="2" t="s">
        <v>2</v>
      </c>
      <c r="B82" s="10">
        <f>SUM(B4:B81)</f>
        <v>4473340.6899999985</v>
      </c>
      <c r="C82" s="10">
        <f>SUM(C4:C81)</f>
        <v>894668.13</v>
      </c>
      <c r="D82" s="10">
        <f>SUM(D4:D81)</f>
        <v>3578672.5600000005</v>
      </c>
      <c r="F82" s="10">
        <f>SUM(F4:F81)</f>
        <v>368244425.95999998</v>
      </c>
      <c r="G82" s="10">
        <f t="shared" ref="G82:H82" si="8">SUM(G4:G81)</f>
        <v>73648885.130000025</v>
      </c>
      <c r="H82" s="10">
        <f t="shared" si="8"/>
        <v>294595540.82999998</v>
      </c>
      <c r="J82" s="10">
        <f>SUM(J4:J81)</f>
        <v>372717766.6500001</v>
      </c>
      <c r="K82" s="10">
        <f t="shared" ref="K82:L82" si="9">SUM(K4:K81)</f>
        <v>74543553.25999999</v>
      </c>
      <c r="L82" s="10">
        <f t="shared" si="9"/>
        <v>298174213.39000005</v>
      </c>
      <c r="N82" s="10">
        <f>SUM(N4:N81)</f>
        <v>19295042.460000005</v>
      </c>
      <c r="O82" s="10">
        <f>SUM(O4:O81)</f>
        <v>3859008.4699999997</v>
      </c>
      <c r="P82" s="10">
        <f>SUM(P4:P81)</f>
        <v>15436033.990000002</v>
      </c>
    </row>
    <row r="83" spans="1:16">
      <c r="B83" s="5"/>
      <c r="F83"/>
      <c r="H83" s="5"/>
    </row>
    <row r="84" spans="1:16" s="112" customFormat="1">
      <c r="A84" s="178" t="s">
        <v>309</v>
      </c>
      <c r="B84" s="179">
        <v>4473340.6900000004</v>
      </c>
      <c r="C84" s="179">
        <v>894668.13</v>
      </c>
      <c r="D84" s="179">
        <f>B84-C84</f>
        <v>3578672.5600000005</v>
      </c>
      <c r="E84" s="178"/>
      <c r="F84" s="179">
        <v>368244425.95999998</v>
      </c>
      <c r="G84" s="179">
        <v>73648885.129999995</v>
      </c>
      <c r="H84" s="179">
        <f>F84-G84</f>
        <v>294595540.82999998</v>
      </c>
      <c r="I84" s="178"/>
      <c r="J84" s="179">
        <v>372717766.64999998</v>
      </c>
      <c r="K84" s="179">
        <v>74543553.260000005</v>
      </c>
      <c r="L84" s="179">
        <f>J84-K84</f>
        <v>298174213.38999999</v>
      </c>
      <c r="M84" s="178"/>
      <c r="N84" s="179">
        <v>19295042.460000001</v>
      </c>
      <c r="O84" s="179">
        <v>3859008.47</v>
      </c>
      <c r="P84" s="179">
        <f>N84-O84</f>
        <v>15436033.99</v>
      </c>
    </row>
    <row r="85" spans="1:16" s="112" customFormat="1">
      <c r="B85" s="113"/>
      <c r="C85" s="113"/>
      <c r="D85" s="113"/>
      <c r="F85" s="113"/>
      <c r="G85" s="114"/>
      <c r="H85" s="114"/>
      <c r="J85" s="111"/>
      <c r="K85" s="111"/>
      <c r="L85" s="111"/>
      <c r="N85" s="114"/>
      <c r="O85" s="114"/>
      <c r="P85" s="114"/>
    </row>
    <row r="86" spans="1:16" s="99" customFormat="1">
      <c r="A86" s="84" t="s">
        <v>369</v>
      </c>
      <c r="B86" s="86">
        <f>B82-B84</f>
        <v>0</v>
      </c>
      <c r="C86" s="86">
        <f t="shared" ref="C86:D86" si="10">C82-C84</f>
        <v>0</v>
      </c>
      <c r="D86" s="86">
        <f t="shared" si="10"/>
        <v>0</v>
      </c>
      <c r="E86" s="84"/>
      <c r="F86" s="86">
        <f>F82-F84</f>
        <v>0</v>
      </c>
      <c r="G86" s="86">
        <f t="shared" ref="G86:H86" si="11">G82-G84</f>
        <v>0</v>
      </c>
      <c r="H86" s="86">
        <f t="shared" si="11"/>
        <v>0</v>
      </c>
      <c r="I86" s="84"/>
      <c r="J86" s="86">
        <f>J82-J84</f>
        <v>0</v>
      </c>
      <c r="K86" s="86">
        <f t="shared" ref="K86:L86" si="12">K82-K84</f>
        <v>0</v>
      </c>
      <c r="L86" s="86">
        <f t="shared" si="12"/>
        <v>0</v>
      </c>
      <c r="M86" s="84"/>
      <c r="N86" s="86">
        <f>N82-N84</f>
        <v>0</v>
      </c>
      <c r="O86" s="86">
        <f t="shared" ref="O86:P86" si="13">O82-O84</f>
        <v>0</v>
      </c>
      <c r="P86" s="86">
        <f t="shared" si="13"/>
        <v>0</v>
      </c>
    </row>
    <row r="87" spans="1:16">
      <c r="B87" s="8"/>
      <c r="F87" s="110"/>
      <c r="G87" s="4"/>
      <c r="L87" s="184"/>
    </row>
    <row r="88" spans="1:16">
      <c r="F88" s="110"/>
      <c r="G88" s="110"/>
      <c r="H88" s="4"/>
      <c r="J88" s="185"/>
      <c r="K88" s="184"/>
      <c r="N88" s="110"/>
      <c r="O88" s="110"/>
      <c r="P88" s="4"/>
    </row>
    <row r="89" spans="1:16">
      <c r="B89" s="8"/>
      <c r="F89" s="110"/>
      <c r="G89" s="110"/>
      <c r="H89" s="4"/>
      <c r="M89" s="110"/>
      <c r="N89" s="110"/>
      <c r="O89" s="4"/>
    </row>
    <row r="90" spans="1:16">
      <c r="B90" s="110"/>
      <c r="C90" s="4"/>
      <c r="D90" s="4"/>
      <c r="E90" s="4"/>
      <c r="F90" s="110"/>
      <c r="G90" s="110"/>
      <c r="H90" s="4"/>
      <c r="J90" s="110"/>
      <c r="K90" s="184"/>
      <c r="N90" s="110"/>
      <c r="O90" s="110"/>
      <c r="P90" s="4"/>
    </row>
    <row r="91" spans="1:16">
      <c r="B91" s="8"/>
      <c r="C91" s="4"/>
      <c r="D91" s="110"/>
      <c r="E91" s="4"/>
      <c r="G91" s="4"/>
      <c r="I91" s="4"/>
      <c r="J91" s="245"/>
      <c r="K91" s="184"/>
      <c r="N91" s="110"/>
      <c r="O91" s="110"/>
    </row>
    <row r="92" spans="1:16">
      <c r="B92" s="8"/>
      <c r="G92" s="110"/>
      <c r="H92" s="4"/>
      <c r="M92" s="110"/>
      <c r="N92" s="4"/>
    </row>
    <row r="93" spans="1:16">
      <c r="B93" s="8"/>
      <c r="F93" s="110"/>
      <c r="G93" s="4"/>
    </row>
    <row r="94" spans="1:16">
      <c r="B94" s="9"/>
    </row>
    <row r="95" spans="1:16">
      <c r="B95" s="6"/>
    </row>
    <row r="96" spans="1:16">
      <c r="B96" s="6"/>
    </row>
    <row r="97" spans="2:2">
      <c r="B97" s="6"/>
    </row>
    <row r="98" spans="2:2">
      <c r="B98" s="6"/>
    </row>
    <row r="99" spans="2:2">
      <c r="B99" s="6"/>
    </row>
    <row r="100" spans="2:2">
      <c r="B100" s="6"/>
    </row>
    <row r="101" spans="2:2">
      <c r="B101" s="6"/>
    </row>
    <row r="102" spans="2:2">
      <c r="B102" s="6"/>
    </row>
    <row r="103" spans="2:2">
      <c r="B103" s="6"/>
    </row>
    <row r="104" spans="2:2">
      <c r="B104" s="7"/>
    </row>
  </sheetData>
  <mergeCells count="8">
    <mergeCell ref="N2:P2"/>
    <mergeCell ref="B2:D2"/>
    <mergeCell ref="F2:H2"/>
    <mergeCell ref="J2:L2"/>
    <mergeCell ref="B1:D1"/>
    <mergeCell ref="F1:H1"/>
    <mergeCell ref="J1:L1"/>
    <mergeCell ref="N1:P1"/>
  </mergeCells>
  <conditionalFormatting sqref="B86:P86">
    <cfRule type="expression" dxfId="12" priority="2">
      <formula>B$86=0</formula>
    </cfRule>
  </conditionalFormatting>
  <conditionalFormatting sqref="A86">
    <cfRule type="expression" dxfId="11" priority="1">
      <formula>SUM($B$86:$P$86)=0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B49" workbookViewId="0">
      <selection activeCell="C84" sqref="C84"/>
    </sheetView>
  </sheetViews>
  <sheetFormatPr defaultRowHeight="15"/>
  <cols>
    <col min="1" max="1" width="26.7109375" customWidth="1"/>
    <col min="2" max="2" width="11.28515625" style="166" customWidth="1"/>
    <col min="3" max="3" width="21.85546875" style="81" customWidth="1"/>
    <col min="4" max="4" width="21.42578125" style="57" customWidth="1"/>
    <col min="5" max="5" width="14.28515625" customWidth="1"/>
    <col min="6" max="6" width="15.140625" customWidth="1"/>
  </cols>
  <sheetData>
    <row r="1" spans="1:6" ht="15" customHeight="1">
      <c r="A1" s="312">
        <f ca="1">ICMS!B1</f>
        <v>45348</v>
      </c>
      <c r="B1" s="161"/>
      <c r="C1" s="58" t="s">
        <v>115</v>
      </c>
      <c r="D1" s="58" t="s">
        <v>267</v>
      </c>
    </row>
    <row r="2" spans="1:6">
      <c r="A2" s="1" t="s">
        <v>0</v>
      </c>
      <c r="B2" s="162"/>
      <c r="C2" s="25">
        <f>'IPI EXP'!K5</f>
        <v>4239486.88</v>
      </c>
      <c r="D2" s="25">
        <f>'IPI EXP'!K8</f>
        <v>3357673.63</v>
      </c>
      <c r="E2" s="69">
        <f>D2-D83</f>
        <v>0</v>
      </c>
      <c r="F2" s="69"/>
    </row>
    <row r="3" spans="1:6">
      <c r="A3" t="s">
        <v>4</v>
      </c>
      <c r="B3" s="163">
        <v>7.6100000000000004E-3</v>
      </c>
      <c r="C3" s="81">
        <f>B3*$C$2</f>
        <v>32262.4951568</v>
      </c>
      <c r="D3" s="3">
        <v>24578.17</v>
      </c>
      <c r="F3" s="96"/>
    </row>
    <row r="4" spans="1:6">
      <c r="A4" t="s">
        <v>5</v>
      </c>
      <c r="B4" s="163">
        <v>2.8899999999999998E-3</v>
      </c>
      <c r="C4" s="81">
        <f t="shared" ref="C4:C67" si="0">B4*$C$2</f>
        <v>12252.117083199999</v>
      </c>
      <c r="D4" s="3">
        <v>9468.64</v>
      </c>
      <c r="F4" s="69"/>
    </row>
    <row r="5" spans="1:6">
      <c r="A5" t="s">
        <v>6</v>
      </c>
      <c r="B5" s="163">
        <v>4.0400000000000002E-3</v>
      </c>
      <c r="C5" s="81">
        <f t="shared" si="0"/>
        <v>17127.526995200002</v>
      </c>
      <c r="D5" s="3">
        <v>15445.29</v>
      </c>
    </row>
    <row r="6" spans="1:6">
      <c r="A6" t="s">
        <v>7</v>
      </c>
      <c r="B6" s="163">
        <v>4.9800000000000001E-3</v>
      </c>
      <c r="C6" s="81">
        <f t="shared" si="0"/>
        <v>21112.644662399998</v>
      </c>
      <c r="D6" s="3">
        <v>15713.91</v>
      </c>
    </row>
    <row r="7" spans="1:6">
      <c r="A7" t="s">
        <v>8</v>
      </c>
      <c r="B7" s="163">
        <v>4.6700000000000005E-3</v>
      </c>
      <c r="C7" s="81">
        <f t="shared" si="0"/>
        <v>19798.403729600002</v>
      </c>
      <c r="D7" s="3">
        <v>15378.150000000001</v>
      </c>
    </row>
    <row r="8" spans="1:6">
      <c r="A8" t="s">
        <v>9</v>
      </c>
      <c r="B8" s="163">
        <v>2.2599999999999999E-3</v>
      </c>
      <c r="C8" s="81">
        <f t="shared" si="0"/>
        <v>9581.2403488</v>
      </c>
      <c r="D8" s="3">
        <v>7722.6400000000012</v>
      </c>
    </row>
    <row r="9" spans="1:6">
      <c r="A9" t="s">
        <v>10</v>
      </c>
      <c r="B9" s="163">
        <v>3.1480000000000001E-2</v>
      </c>
      <c r="C9" s="81">
        <f t="shared" si="0"/>
        <v>133459.0469824</v>
      </c>
      <c r="D9" s="3">
        <v>142869.01999999999</v>
      </c>
    </row>
    <row r="10" spans="1:6">
      <c r="A10" t="s">
        <v>11</v>
      </c>
      <c r="B10" s="163">
        <v>1.8500000000000001E-3</v>
      </c>
      <c r="C10" s="81">
        <f t="shared" si="0"/>
        <v>7843.0507280000002</v>
      </c>
      <c r="D10" s="3">
        <v>6312.43</v>
      </c>
    </row>
    <row r="11" spans="1:6">
      <c r="A11" t="s">
        <v>12</v>
      </c>
      <c r="B11" s="163">
        <v>2.9220000000000003E-2</v>
      </c>
      <c r="C11" s="81">
        <f t="shared" si="0"/>
        <v>123877.8066336</v>
      </c>
      <c r="D11" s="3">
        <v>127155.1</v>
      </c>
    </row>
    <row r="12" spans="1:6">
      <c r="A12" t="s">
        <v>13</v>
      </c>
      <c r="B12" s="163">
        <v>3.5399999999999997E-3</v>
      </c>
      <c r="C12" s="81">
        <f t="shared" si="0"/>
        <v>15007.783555199998</v>
      </c>
      <c r="D12" s="3">
        <v>10878.859999999999</v>
      </c>
    </row>
    <row r="13" spans="1:6">
      <c r="A13" t="s">
        <v>14</v>
      </c>
      <c r="B13" s="163">
        <v>6.0699999999999999E-3</v>
      </c>
      <c r="C13" s="81">
        <f t="shared" si="0"/>
        <v>25733.685361599997</v>
      </c>
      <c r="D13" s="3">
        <v>19911.010000000002</v>
      </c>
    </row>
    <row r="14" spans="1:6">
      <c r="A14" t="s">
        <v>15</v>
      </c>
      <c r="B14" s="163">
        <v>1.0289999999999999E-2</v>
      </c>
      <c r="C14" s="81">
        <f t="shared" si="0"/>
        <v>43624.319995199992</v>
      </c>
      <c r="D14" s="3">
        <v>29681.83</v>
      </c>
    </row>
    <row r="15" spans="1:6">
      <c r="A15" t="s">
        <v>73</v>
      </c>
      <c r="B15" s="163">
        <v>3.9500000000000004E-3</v>
      </c>
      <c r="C15" s="81">
        <f t="shared" si="0"/>
        <v>16745.973176</v>
      </c>
      <c r="D15" s="3">
        <v>14068.66</v>
      </c>
    </row>
    <row r="16" spans="1:6">
      <c r="A16" t="s">
        <v>16</v>
      </c>
      <c r="B16" s="163">
        <v>1.7599999999999998E-3</v>
      </c>
      <c r="C16" s="81">
        <f t="shared" si="0"/>
        <v>7461.4969087999989</v>
      </c>
      <c r="D16" s="3">
        <v>5607.32</v>
      </c>
    </row>
    <row r="17" spans="1:4">
      <c r="A17" t="s">
        <v>17</v>
      </c>
      <c r="B17" s="163">
        <v>4.2100000000000002E-3</v>
      </c>
      <c r="C17" s="81">
        <f t="shared" si="0"/>
        <v>17848.239764800001</v>
      </c>
      <c r="D17" s="3">
        <v>13967.92</v>
      </c>
    </row>
    <row r="18" spans="1:4">
      <c r="A18" t="s">
        <v>18</v>
      </c>
      <c r="B18" s="163">
        <v>3.1120000000000002E-2</v>
      </c>
      <c r="C18" s="81">
        <f t="shared" si="0"/>
        <v>131932.83170559999</v>
      </c>
      <c r="D18" s="3">
        <v>92571.06</v>
      </c>
    </row>
    <row r="19" spans="1:4">
      <c r="A19" t="s">
        <v>19</v>
      </c>
      <c r="B19" s="163">
        <v>7.2989999999999999E-2</v>
      </c>
      <c r="C19" s="81">
        <f t="shared" si="0"/>
        <v>309440.14737119997</v>
      </c>
      <c r="D19" s="3">
        <v>239133.51</v>
      </c>
    </row>
    <row r="20" spans="1:4">
      <c r="A20" t="s">
        <v>20</v>
      </c>
      <c r="B20" s="163">
        <v>8.9899999999999997E-3</v>
      </c>
      <c r="C20" s="81">
        <f t="shared" si="0"/>
        <v>38112.987051199998</v>
      </c>
      <c r="D20" s="3">
        <v>27835.11</v>
      </c>
    </row>
    <row r="21" spans="1:4">
      <c r="A21" t="s">
        <v>21</v>
      </c>
      <c r="B21" s="163">
        <v>2.2320000000000003E-2</v>
      </c>
      <c r="C21" s="81">
        <f t="shared" si="0"/>
        <v>94625.347161600017</v>
      </c>
      <c r="D21" s="3">
        <v>71887.790000000008</v>
      </c>
    </row>
    <row r="22" spans="1:4">
      <c r="A22" t="s">
        <v>74</v>
      </c>
      <c r="B22" s="163">
        <v>7.9400000000000009E-3</v>
      </c>
      <c r="C22" s="81">
        <f t="shared" si="0"/>
        <v>33661.525827200006</v>
      </c>
      <c r="D22" s="3">
        <v>25551.9</v>
      </c>
    </row>
    <row r="23" spans="1:4">
      <c r="A23" t="s">
        <v>75</v>
      </c>
      <c r="B23" s="163">
        <v>4.5999999999999999E-3</v>
      </c>
      <c r="C23" s="81">
        <f t="shared" si="0"/>
        <v>19501.639648</v>
      </c>
      <c r="D23" s="3">
        <v>13598.57</v>
      </c>
    </row>
    <row r="24" spans="1:4">
      <c r="A24" t="s">
        <v>76</v>
      </c>
      <c r="B24" s="163">
        <v>1.82E-3</v>
      </c>
      <c r="C24" s="81">
        <f t="shared" si="0"/>
        <v>7715.8661216</v>
      </c>
      <c r="D24" s="3">
        <v>6043.8099999999995</v>
      </c>
    </row>
    <row r="25" spans="1:4">
      <c r="A25" t="s">
        <v>22</v>
      </c>
      <c r="B25" s="163">
        <v>1.268E-2</v>
      </c>
      <c r="C25" s="81">
        <f t="shared" si="0"/>
        <v>53756.6936384</v>
      </c>
      <c r="D25" s="3">
        <v>40527.129999999997</v>
      </c>
    </row>
    <row r="26" spans="1:4">
      <c r="A26" t="s">
        <v>23</v>
      </c>
      <c r="B26" s="163">
        <v>2.7000000000000001E-3</v>
      </c>
      <c r="C26" s="81">
        <f t="shared" si="0"/>
        <v>11446.614576</v>
      </c>
      <c r="D26" s="3">
        <v>8662.7999999999993</v>
      </c>
    </row>
    <row r="27" spans="1:4">
      <c r="A27" t="s">
        <v>24</v>
      </c>
      <c r="B27" s="163">
        <v>6.9399999999999991E-3</v>
      </c>
      <c r="C27" s="81">
        <f t="shared" si="0"/>
        <v>29422.038947199995</v>
      </c>
      <c r="D27" s="3">
        <v>23503.72</v>
      </c>
    </row>
    <row r="28" spans="1:4">
      <c r="A28" t="s">
        <v>25</v>
      </c>
      <c r="B28" s="163">
        <v>2.8599999999999997E-3</v>
      </c>
      <c r="C28" s="81">
        <f t="shared" si="0"/>
        <v>12124.932476799999</v>
      </c>
      <c r="D28" s="3">
        <v>8998.5600000000013</v>
      </c>
    </row>
    <row r="29" spans="1:4">
      <c r="A29" t="s">
        <v>26</v>
      </c>
      <c r="B29" s="163">
        <v>4.3800000000000002E-3</v>
      </c>
      <c r="C29" s="81">
        <f t="shared" si="0"/>
        <v>18568.952534399999</v>
      </c>
      <c r="D29" s="3">
        <v>16419.02</v>
      </c>
    </row>
    <row r="30" spans="1:4">
      <c r="A30" t="s">
        <v>77</v>
      </c>
      <c r="B30" s="163">
        <v>3.5899999999999999E-3</v>
      </c>
      <c r="C30" s="81">
        <f t="shared" si="0"/>
        <v>15219.7578992</v>
      </c>
      <c r="D30" s="3">
        <v>11315.36</v>
      </c>
    </row>
    <row r="31" spans="1:4">
      <c r="A31" t="s">
        <v>27</v>
      </c>
      <c r="B31" s="163">
        <v>8.1200000000000005E-3</v>
      </c>
      <c r="C31" s="81">
        <f t="shared" si="0"/>
        <v>34424.633465600004</v>
      </c>
      <c r="D31" s="3">
        <v>24343.14</v>
      </c>
    </row>
    <row r="32" spans="1:4">
      <c r="A32" t="s">
        <v>28</v>
      </c>
      <c r="B32" s="163">
        <v>3.7199999999999998E-3</v>
      </c>
      <c r="C32" s="81">
        <f t="shared" si="0"/>
        <v>15770.891193599999</v>
      </c>
      <c r="D32" s="3">
        <v>11181.06</v>
      </c>
    </row>
    <row r="33" spans="1:4">
      <c r="A33" t="s">
        <v>78</v>
      </c>
      <c r="B33" s="163">
        <v>2.31E-3</v>
      </c>
      <c r="C33" s="81">
        <f t="shared" si="0"/>
        <v>9793.2146928000002</v>
      </c>
      <c r="D33" s="3">
        <v>7621.92</v>
      </c>
    </row>
    <row r="34" spans="1:4">
      <c r="A34" t="s">
        <v>29</v>
      </c>
      <c r="B34" s="163">
        <v>2.4299999999999999E-3</v>
      </c>
      <c r="C34" s="81">
        <f t="shared" si="0"/>
        <v>10301.953118399999</v>
      </c>
      <c r="D34" s="3">
        <v>7856.95</v>
      </c>
    </row>
    <row r="35" spans="1:4">
      <c r="A35" t="s">
        <v>30</v>
      </c>
      <c r="B35" s="163">
        <v>3.15E-3</v>
      </c>
      <c r="C35" s="81">
        <f t="shared" si="0"/>
        <v>13354.383672</v>
      </c>
      <c r="D35" s="3">
        <v>9636.5300000000007</v>
      </c>
    </row>
    <row r="36" spans="1:4">
      <c r="A36" t="s">
        <v>31</v>
      </c>
      <c r="B36" s="163">
        <v>2.99E-3</v>
      </c>
      <c r="C36" s="81">
        <f t="shared" si="0"/>
        <v>12676.065771199999</v>
      </c>
      <c r="D36" s="3">
        <v>9670.0999999999985</v>
      </c>
    </row>
    <row r="37" spans="1:4">
      <c r="A37" t="s">
        <v>79</v>
      </c>
      <c r="B37" s="163">
        <v>3.1900000000000001E-3</v>
      </c>
      <c r="C37" s="81">
        <f t="shared" si="0"/>
        <v>13523.9631472</v>
      </c>
      <c r="D37" s="3">
        <v>11348.94</v>
      </c>
    </row>
    <row r="38" spans="1:4">
      <c r="A38" t="s">
        <v>32</v>
      </c>
      <c r="B38" s="163">
        <v>2.4550000000000002E-2</v>
      </c>
      <c r="C38" s="81">
        <f t="shared" si="0"/>
        <v>104079.402904</v>
      </c>
      <c r="D38" s="3">
        <v>127759.48000000001</v>
      </c>
    </row>
    <row r="39" spans="1:4">
      <c r="A39" t="s">
        <v>33</v>
      </c>
      <c r="B39" s="163">
        <v>3.4799999999999996E-3</v>
      </c>
      <c r="C39" s="81">
        <f t="shared" si="0"/>
        <v>14753.414342399998</v>
      </c>
      <c r="D39" s="3">
        <v>11852.59</v>
      </c>
    </row>
    <row r="40" spans="1:4">
      <c r="A40" t="s">
        <v>34</v>
      </c>
      <c r="B40" s="163">
        <v>4.96E-3</v>
      </c>
      <c r="C40" s="81">
        <f t="shared" si="0"/>
        <v>21027.854924799998</v>
      </c>
      <c r="D40" s="3">
        <v>15747.49</v>
      </c>
    </row>
    <row r="41" spans="1:4">
      <c r="A41" t="s">
        <v>35</v>
      </c>
      <c r="B41" s="163">
        <v>8.7100000000000007E-3</v>
      </c>
      <c r="C41" s="81">
        <f t="shared" si="0"/>
        <v>36925.930724800004</v>
      </c>
      <c r="D41" s="3">
        <v>36061.42</v>
      </c>
    </row>
    <row r="42" spans="1:4">
      <c r="A42" t="s">
        <v>36</v>
      </c>
      <c r="B42" s="163">
        <v>2.0999999999999999E-3</v>
      </c>
      <c r="C42" s="81">
        <f t="shared" si="0"/>
        <v>8902.9224479999993</v>
      </c>
      <c r="D42" s="3">
        <v>6748.92</v>
      </c>
    </row>
    <row r="43" spans="1:4">
      <c r="A43" t="s">
        <v>37</v>
      </c>
      <c r="B43" s="163">
        <v>3.62E-3</v>
      </c>
      <c r="C43" s="81">
        <f t="shared" si="0"/>
        <v>15346.9425056</v>
      </c>
      <c r="D43" s="3">
        <v>12859.89</v>
      </c>
    </row>
    <row r="44" spans="1:4">
      <c r="A44" t="s">
        <v>38</v>
      </c>
      <c r="B44" s="163">
        <v>3.7299999999999998E-3</v>
      </c>
      <c r="C44" s="81">
        <f t="shared" si="0"/>
        <v>15813.286062399999</v>
      </c>
      <c r="D44" s="3">
        <v>12658.439999999999</v>
      </c>
    </row>
    <row r="45" spans="1:4">
      <c r="A45" t="s">
        <v>39</v>
      </c>
      <c r="B45" s="163">
        <v>4.9790000000000001E-2</v>
      </c>
      <c r="C45" s="81">
        <f t="shared" si="0"/>
        <v>211084.05175519999</v>
      </c>
      <c r="D45" s="3">
        <v>156131.82</v>
      </c>
    </row>
    <row r="46" spans="1:4">
      <c r="A46" t="s">
        <v>40</v>
      </c>
      <c r="B46" s="163">
        <v>2.7600000000000003E-3</v>
      </c>
      <c r="C46" s="81">
        <f t="shared" si="0"/>
        <v>11700.9837888</v>
      </c>
      <c r="D46" s="3">
        <v>8394.18</v>
      </c>
    </row>
    <row r="47" spans="1:4">
      <c r="A47" t="s">
        <v>41</v>
      </c>
      <c r="B47" s="163">
        <v>6.5799999999999999E-3</v>
      </c>
      <c r="C47" s="81">
        <f t="shared" si="0"/>
        <v>27895.823670399997</v>
      </c>
      <c r="D47" s="3">
        <v>20683.27</v>
      </c>
    </row>
    <row r="48" spans="1:4">
      <c r="A48" t="s">
        <v>42</v>
      </c>
      <c r="B48" s="163">
        <v>6.11E-3</v>
      </c>
      <c r="C48" s="81">
        <f t="shared" si="0"/>
        <v>25903.264836800001</v>
      </c>
      <c r="D48" s="3">
        <v>19038.010000000002</v>
      </c>
    </row>
    <row r="49" spans="1:4">
      <c r="A49" t="s">
        <v>43</v>
      </c>
      <c r="B49" s="163">
        <v>4.3600000000000002E-3</v>
      </c>
      <c r="C49" s="81">
        <f t="shared" si="0"/>
        <v>18484.162796799999</v>
      </c>
      <c r="D49" s="3">
        <v>15445.29</v>
      </c>
    </row>
    <row r="50" spans="1:4">
      <c r="A50" t="s">
        <v>44</v>
      </c>
      <c r="B50" s="163">
        <v>4.9499999999999995E-3</v>
      </c>
      <c r="C50" s="81">
        <f t="shared" si="0"/>
        <v>20985.460055999996</v>
      </c>
      <c r="D50" s="3">
        <v>15948.949999999999</v>
      </c>
    </row>
    <row r="51" spans="1:4">
      <c r="A51" t="s">
        <v>45</v>
      </c>
      <c r="B51" s="163">
        <v>5.2100000000000002E-3</v>
      </c>
      <c r="C51" s="81">
        <f t="shared" si="0"/>
        <v>22087.726644800001</v>
      </c>
      <c r="D51" s="3">
        <v>17728.519999999997</v>
      </c>
    </row>
    <row r="52" spans="1:4">
      <c r="A52" t="s">
        <v>46</v>
      </c>
      <c r="B52" s="163">
        <v>2.8299999999999996E-3</v>
      </c>
      <c r="C52" s="81">
        <f t="shared" si="0"/>
        <v>11997.747870399999</v>
      </c>
      <c r="D52" s="3">
        <v>9837.99</v>
      </c>
    </row>
    <row r="53" spans="1:4">
      <c r="A53" t="s">
        <v>47</v>
      </c>
      <c r="B53" s="163">
        <v>5.4600000000000004E-3</v>
      </c>
      <c r="C53" s="81">
        <f t="shared" si="0"/>
        <v>23147.5983648</v>
      </c>
      <c r="D53" s="3">
        <v>17392.75</v>
      </c>
    </row>
    <row r="54" spans="1:4">
      <c r="A54" t="s">
        <v>48</v>
      </c>
      <c r="B54" s="163">
        <v>2.8100000000000004E-3</v>
      </c>
      <c r="C54" s="81">
        <f t="shared" si="0"/>
        <v>11912.958132800002</v>
      </c>
      <c r="D54" s="3">
        <v>8965</v>
      </c>
    </row>
    <row r="55" spans="1:4">
      <c r="A55" t="s">
        <v>49</v>
      </c>
      <c r="B55" s="163">
        <v>1.311E-2</v>
      </c>
      <c r="C55" s="81">
        <f t="shared" si="0"/>
        <v>55579.6729968</v>
      </c>
      <c r="D55" s="3">
        <v>43951.94</v>
      </c>
    </row>
    <row r="56" spans="1:4">
      <c r="A56" t="s">
        <v>50</v>
      </c>
      <c r="B56" s="163">
        <v>4.3600000000000002E-3</v>
      </c>
      <c r="C56" s="81">
        <f t="shared" si="0"/>
        <v>18484.162796799999</v>
      </c>
      <c r="D56" s="3">
        <v>15243.850000000002</v>
      </c>
    </row>
    <row r="57" spans="1:4">
      <c r="A57" t="s">
        <v>51</v>
      </c>
      <c r="B57" s="163">
        <v>3.0699999999999998E-3</v>
      </c>
      <c r="C57" s="81">
        <f t="shared" si="0"/>
        <v>13015.2247216</v>
      </c>
      <c r="D57" s="3">
        <v>10610.25</v>
      </c>
    </row>
    <row r="58" spans="1:4">
      <c r="A58" t="s">
        <v>52</v>
      </c>
      <c r="B58" s="163">
        <v>7.3200000000000001E-3</v>
      </c>
      <c r="C58" s="81">
        <f t="shared" si="0"/>
        <v>31033.0439616</v>
      </c>
      <c r="D58" s="3">
        <v>25585.48</v>
      </c>
    </row>
    <row r="59" spans="1:4">
      <c r="A59" t="s">
        <v>53</v>
      </c>
      <c r="B59" s="163">
        <v>1.4199999999999998E-3</v>
      </c>
      <c r="C59" s="81">
        <f t="shared" si="0"/>
        <v>6020.0713695999993</v>
      </c>
      <c r="D59" s="3">
        <v>8729.9599999999991</v>
      </c>
    </row>
    <row r="60" spans="1:4">
      <c r="A60" t="s">
        <v>54</v>
      </c>
      <c r="B60" s="163">
        <v>2.0899999999999998E-3</v>
      </c>
      <c r="C60" s="81">
        <f t="shared" si="0"/>
        <v>8860.5275791999993</v>
      </c>
      <c r="D60" s="3">
        <v>7185.42</v>
      </c>
    </row>
    <row r="61" spans="1:4">
      <c r="A61" t="s">
        <v>55</v>
      </c>
      <c r="B61" s="163">
        <v>3.2000000000000002E-3</v>
      </c>
      <c r="C61" s="81">
        <f t="shared" si="0"/>
        <v>13566.358016</v>
      </c>
      <c r="D61" s="3">
        <v>13128.499999999998</v>
      </c>
    </row>
    <row r="62" spans="1:4">
      <c r="A62" t="s">
        <v>56</v>
      </c>
      <c r="B62" s="163">
        <v>8.539999999999999E-3</v>
      </c>
      <c r="C62" s="81">
        <f t="shared" si="0"/>
        <v>36205.217955199994</v>
      </c>
      <c r="D62" s="3">
        <v>30319.8</v>
      </c>
    </row>
    <row r="63" spans="1:4">
      <c r="A63" t="s">
        <v>57</v>
      </c>
      <c r="B63" s="163">
        <v>2.5000000000000001E-3</v>
      </c>
      <c r="C63" s="81">
        <f t="shared" si="0"/>
        <v>10598.717199999999</v>
      </c>
      <c r="D63" s="3">
        <v>8696.369999999999</v>
      </c>
    </row>
    <row r="64" spans="1:4">
      <c r="A64" t="s">
        <v>58</v>
      </c>
      <c r="B64" s="163">
        <v>5.45E-3</v>
      </c>
      <c r="C64" s="81">
        <f t="shared" si="0"/>
        <v>23105.203495999998</v>
      </c>
      <c r="D64" s="3">
        <v>17627.79</v>
      </c>
    </row>
    <row r="65" spans="1:5">
      <c r="A65" t="s">
        <v>59</v>
      </c>
      <c r="B65" s="163">
        <v>2.2349999999999998E-2</v>
      </c>
      <c r="C65" s="81">
        <f t="shared" si="0"/>
        <v>94752.531767999986</v>
      </c>
      <c r="D65" s="3">
        <v>78569.570000000007</v>
      </c>
    </row>
    <row r="66" spans="1:5">
      <c r="A66" t="s">
        <v>60</v>
      </c>
      <c r="B66" s="163">
        <v>6.5100000000000002E-3</v>
      </c>
      <c r="C66" s="81">
        <f t="shared" si="0"/>
        <v>27599.059588799999</v>
      </c>
      <c r="D66" s="3">
        <v>21119.77</v>
      </c>
    </row>
    <row r="67" spans="1:5">
      <c r="A67" t="s">
        <v>61</v>
      </c>
      <c r="B67" s="163">
        <v>4.2300000000000003E-3</v>
      </c>
      <c r="C67" s="81">
        <f t="shared" si="0"/>
        <v>17933.029502400001</v>
      </c>
      <c r="D67" s="3">
        <v>13565</v>
      </c>
    </row>
    <row r="68" spans="1:5">
      <c r="A68" t="s">
        <v>81</v>
      </c>
      <c r="B68" s="163">
        <v>8.5199999999999998E-3</v>
      </c>
      <c r="C68" s="81">
        <f t="shared" ref="C68:C80" si="1">B68*$C$2</f>
        <v>36120.428217599998</v>
      </c>
      <c r="D68" s="3">
        <v>26928.539999999997</v>
      </c>
    </row>
    <row r="69" spans="1:5">
      <c r="A69" t="s">
        <v>82</v>
      </c>
      <c r="B69" s="163">
        <v>2.2599999999999999E-3</v>
      </c>
      <c r="C69" s="81">
        <f t="shared" si="1"/>
        <v>9581.2403488</v>
      </c>
      <c r="D69" s="3">
        <v>7856.95</v>
      </c>
    </row>
    <row r="70" spans="1:5">
      <c r="A70" t="s">
        <v>62</v>
      </c>
      <c r="B70" s="163">
        <v>1.9009999999999999E-2</v>
      </c>
      <c r="C70" s="81">
        <f t="shared" si="1"/>
        <v>80592.645588799991</v>
      </c>
      <c r="D70" s="3">
        <v>65541.78</v>
      </c>
    </row>
    <row r="71" spans="1:5">
      <c r="A71" t="s">
        <v>63</v>
      </c>
      <c r="B71" s="163">
        <v>3.1199999999999999E-3</v>
      </c>
      <c r="C71" s="81">
        <f t="shared" si="1"/>
        <v>13227.1990656</v>
      </c>
      <c r="D71" s="3">
        <v>9972.2900000000009</v>
      </c>
    </row>
    <row r="72" spans="1:5">
      <c r="A72" t="s">
        <v>64</v>
      </c>
      <c r="B72" s="163">
        <v>0.15625</v>
      </c>
      <c r="C72" s="81">
        <f t="shared" si="1"/>
        <v>662419.82499999995</v>
      </c>
      <c r="D72" s="3">
        <v>493208.68</v>
      </c>
    </row>
    <row r="73" spans="1:5">
      <c r="A73" t="s">
        <v>65</v>
      </c>
      <c r="B73" s="163">
        <v>7.2199999999999999E-3</v>
      </c>
      <c r="C73" s="81">
        <f t="shared" si="1"/>
        <v>30609.0952736</v>
      </c>
      <c r="D73" s="3">
        <v>24443.86</v>
      </c>
    </row>
    <row r="74" spans="1:5">
      <c r="A74" t="s">
        <v>66</v>
      </c>
      <c r="B74" s="163">
        <v>4.9100000000000003E-3</v>
      </c>
      <c r="C74" s="81">
        <f t="shared" si="1"/>
        <v>20815.8805808</v>
      </c>
      <c r="D74" s="3">
        <v>16318.289999999999</v>
      </c>
    </row>
    <row r="75" spans="1:5">
      <c r="A75" t="s">
        <v>67</v>
      </c>
      <c r="B75" s="163">
        <v>6.8700000000000002E-3</v>
      </c>
      <c r="C75" s="81">
        <f t="shared" si="1"/>
        <v>29125.2748656</v>
      </c>
      <c r="D75" s="3">
        <v>20784.009999999998</v>
      </c>
    </row>
    <row r="76" spans="1:5">
      <c r="A76" t="s">
        <v>68</v>
      </c>
      <c r="B76" s="163">
        <v>2.9870000000000001E-2</v>
      </c>
      <c r="C76" s="81">
        <f t="shared" si="1"/>
        <v>126633.4731056</v>
      </c>
      <c r="D76" s="3">
        <v>94787.12000000001</v>
      </c>
    </row>
    <row r="77" spans="1:5">
      <c r="A77" t="s">
        <v>69</v>
      </c>
      <c r="B77" s="163">
        <v>3.1900000000000001E-3</v>
      </c>
      <c r="C77" s="81">
        <f t="shared" si="1"/>
        <v>13523.9631472</v>
      </c>
      <c r="D77" s="3">
        <v>10509.52</v>
      </c>
    </row>
    <row r="78" spans="1:5">
      <c r="A78" t="s">
        <v>70</v>
      </c>
      <c r="B78" s="163">
        <v>6.5799999999999999E-3</v>
      </c>
      <c r="C78" s="81">
        <f t="shared" si="1"/>
        <v>27895.823670399997</v>
      </c>
      <c r="D78" s="3">
        <v>21589.840000000004</v>
      </c>
    </row>
    <row r="79" spans="1:5">
      <c r="A79" t="s">
        <v>71</v>
      </c>
      <c r="B79" s="163">
        <v>5.0560000000000001E-2</v>
      </c>
      <c r="C79" s="81">
        <f t="shared" si="1"/>
        <v>214348.4566528</v>
      </c>
      <c r="D79" s="3">
        <v>166876.37999999998</v>
      </c>
      <c r="E79" s="110"/>
    </row>
    <row r="80" spans="1:5">
      <c r="A80" t="s">
        <v>72</v>
      </c>
      <c r="B80" s="163">
        <v>0.14782000000000001</v>
      </c>
      <c r="C80" s="81">
        <f t="shared" si="1"/>
        <v>626680.95060159999</v>
      </c>
      <c r="D80" s="3">
        <v>464802.73</v>
      </c>
    </row>
    <row r="81" spans="1:6">
      <c r="B81" s="164"/>
      <c r="D81" s="186"/>
    </row>
    <row r="82" spans="1:6">
      <c r="B82" s="164"/>
      <c r="C82" s="93">
        <f>SUM(C3:C80)</f>
        <v>4239486.88</v>
      </c>
      <c r="D82" s="93">
        <f>SUM(D3:D80)</f>
        <v>3357673.63</v>
      </c>
    </row>
    <row r="83" spans="1:6" s="99" customFormat="1">
      <c r="A83" s="99" t="s">
        <v>310</v>
      </c>
      <c r="B83" s="165"/>
      <c r="C83" s="101"/>
      <c r="D83" s="167">
        <v>3357673.63</v>
      </c>
    </row>
    <row r="84" spans="1:6" s="180" customFormat="1">
      <c r="A84" s="84" t="s">
        <v>369</v>
      </c>
      <c r="B84" s="286">
        <f>SUM(B3:B80)</f>
        <v>0.99999999999999978</v>
      </c>
      <c r="C84" s="86">
        <f>C82-IPI!C2</f>
        <v>0</v>
      </c>
      <c r="D84" s="86">
        <f>D82-D83</f>
        <v>0</v>
      </c>
    </row>
    <row r="85" spans="1:6">
      <c r="D85" s="110"/>
    </row>
    <row r="86" spans="1:6">
      <c r="E86" s="110"/>
      <c r="F86" s="110"/>
    </row>
  </sheetData>
  <conditionalFormatting sqref="C84:D84">
    <cfRule type="expression" dxfId="10" priority="2">
      <formula>C$84=0</formula>
    </cfRule>
  </conditionalFormatting>
  <conditionalFormatting sqref="A84">
    <cfRule type="expression" dxfId="9" priority="1">
      <formula>SUM($C$84:$P$84)=0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Normal="100" workbookViewId="0">
      <selection activeCell="C42" sqref="C42:C43"/>
    </sheetView>
  </sheetViews>
  <sheetFormatPr defaultColWidth="9.140625" defaultRowHeight="13.5"/>
  <cols>
    <col min="1" max="1" width="35" style="14" bestFit="1" customWidth="1"/>
    <col min="2" max="2" width="18.42578125" style="14" bestFit="1" customWidth="1"/>
    <col min="3" max="3" width="22" style="56" bestFit="1" customWidth="1"/>
    <col min="4" max="4" width="4.42578125" style="14" bestFit="1" customWidth="1"/>
    <col min="5" max="5" width="9.140625" style="14"/>
    <col min="6" max="6" width="14.85546875" style="14" bestFit="1" customWidth="1"/>
    <col min="7" max="7" width="19.42578125" style="14" customWidth="1"/>
    <col min="8" max="9" width="18.42578125" style="14" bestFit="1" customWidth="1"/>
    <col min="10" max="10" width="18.42578125" style="14" customWidth="1"/>
    <col min="11" max="11" width="18.42578125" style="14" bestFit="1" customWidth="1"/>
    <col min="12" max="12" width="13.7109375" style="14" bestFit="1" customWidth="1"/>
    <col min="13" max="16384" width="9.140625" style="14"/>
  </cols>
  <sheetData>
    <row r="1" spans="1:12" s="200" customFormat="1" ht="22.5" customHeight="1">
      <c r="A1" s="445" t="s">
        <v>382</v>
      </c>
      <c r="B1" s="445"/>
      <c r="C1" s="445"/>
      <c r="D1" s="445"/>
      <c r="E1" s="445"/>
      <c r="F1" s="445"/>
      <c r="G1" s="445"/>
      <c r="H1" s="199"/>
      <c r="I1" s="199"/>
    </row>
    <row r="2" spans="1:12" s="199" customFormat="1" ht="23.25" customHeight="1" thickBot="1">
      <c r="A2" s="313">
        <f ca="1">ROYALTIES!A1</f>
        <v>45348</v>
      </c>
      <c r="B2" s="201"/>
      <c r="C2" s="201"/>
      <c r="D2" s="201"/>
    </row>
    <row r="3" spans="1:12" s="197" customFormat="1" ht="26.25" customHeight="1" thickBot="1">
      <c r="A3" s="15" t="s">
        <v>111</v>
      </c>
      <c r="B3" s="15" t="s">
        <v>98</v>
      </c>
      <c r="C3" s="15" t="s">
        <v>99</v>
      </c>
      <c r="D3" s="15"/>
      <c r="G3" s="196" t="s">
        <v>377</v>
      </c>
      <c r="H3" s="17" t="s">
        <v>378</v>
      </c>
      <c r="I3" s="17" t="s">
        <v>379</v>
      </c>
      <c r="J3" s="17" t="s">
        <v>380</v>
      </c>
      <c r="K3" s="198" t="s">
        <v>381</v>
      </c>
    </row>
    <row r="4" spans="1:12" s="20" customFormat="1" ht="14.25" thickBot="1">
      <c r="A4" s="303" t="str">
        <f>A28</f>
        <v>29.02.2024</v>
      </c>
      <c r="B4" s="18" t="s">
        <v>100</v>
      </c>
      <c r="C4" s="281">
        <f>'[1]IPI EXP'!C28</f>
        <v>3054358.66</v>
      </c>
      <c r="D4" s="19" t="str">
        <f>'[2]IPI EXP'!D28</f>
        <v>C</v>
      </c>
      <c r="G4" s="17"/>
      <c r="H4" s="17"/>
      <c r="I4" s="17"/>
      <c r="J4" s="17"/>
    </row>
    <row r="5" spans="1:12" s="20" customFormat="1" ht="14.25" thickBot="1">
      <c r="A5" s="21"/>
      <c r="B5" s="22" t="s">
        <v>101</v>
      </c>
      <c r="C5" s="76">
        <f>'[1]IPI EXP'!C29</f>
        <v>1018119.55</v>
      </c>
      <c r="D5" s="23" t="str">
        <f>'[2]IPI EXP'!D29</f>
        <v>C</v>
      </c>
      <c r="F5" s="24" t="s">
        <v>112</v>
      </c>
      <c r="G5" s="25">
        <f>$C$5</f>
        <v>1018119.55</v>
      </c>
      <c r="H5" s="25">
        <f>$C$13</f>
        <v>2584986.9500000002</v>
      </c>
      <c r="I5" s="25">
        <f>$C$21</f>
        <v>1038912.06</v>
      </c>
      <c r="J5" s="25">
        <f>C29</f>
        <v>615587.87</v>
      </c>
      <c r="K5" s="25">
        <f>SUM(H5:J5)</f>
        <v>4239486.88</v>
      </c>
    </row>
    <row r="6" spans="1:12" s="20" customFormat="1" ht="15.75" customHeight="1">
      <c r="A6" s="446" t="s">
        <v>403</v>
      </c>
      <c r="B6" s="27" t="s">
        <v>102</v>
      </c>
      <c r="C6" s="77">
        <f>'[1]IPI EXP'!C30</f>
        <v>24434.86</v>
      </c>
      <c r="D6" s="29" t="str">
        <f>'[2]IPI EXP'!D30</f>
        <v>D</v>
      </c>
      <c r="F6" s="30" t="s">
        <v>113</v>
      </c>
      <c r="G6" s="31">
        <f>$C$7</f>
        <v>8144.95</v>
      </c>
      <c r="H6" s="31">
        <f>$C$15</f>
        <v>20679.89</v>
      </c>
      <c r="I6" s="31">
        <f>$C$23</f>
        <v>8311.2900000000009</v>
      </c>
      <c r="J6" s="31">
        <f>C31</f>
        <v>4924.7</v>
      </c>
      <c r="K6" s="31">
        <f>SUM(H6:J6)</f>
        <v>33915.879999999997</v>
      </c>
    </row>
    <row r="7" spans="1:12" s="20" customFormat="1" ht="15.75" customHeight="1" thickBot="1">
      <c r="A7" s="447"/>
      <c r="B7" s="32" t="s">
        <v>103</v>
      </c>
      <c r="C7" s="78">
        <f>'[1]IPI EXP'!C31</f>
        <v>8144.95</v>
      </c>
      <c r="D7" s="33" t="str">
        <f>'[2]IPI EXP'!D31</f>
        <v>D</v>
      </c>
      <c r="F7" s="34" t="s">
        <v>114</v>
      </c>
      <c r="G7" s="35">
        <f>$C$9</f>
        <v>203623.91</v>
      </c>
      <c r="H7" s="35">
        <f>$C$17</f>
        <v>516997.39</v>
      </c>
      <c r="I7" s="35">
        <f>$C$25</f>
        <v>207782.41</v>
      </c>
      <c r="J7" s="35">
        <f>C33</f>
        <v>123117.57</v>
      </c>
      <c r="K7" s="35">
        <f>SUM(H7:J7)</f>
        <v>847897.37000000011</v>
      </c>
      <c r="L7" s="95"/>
    </row>
    <row r="8" spans="1:12" s="20" customFormat="1" ht="15.75" customHeight="1" thickBot="1">
      <c r="A8" s="448"/>
      <c r="B8" s="27" t="s">
        <v>104</v>
      </c>
      <c r="C8" s="77">
        <f>'[1]IPI EXP'!C32</f>
        <v>610871.73</v>
      </c>
      <c r="D8" s="29" t="str">
        <f>'[2]IPI EXP'!D32</f>
        <v>D</v>
      </c>
      <c r="F8" s="36"/>
      <c r="G8" s="37">
        <f>G5-G6-G7</f>
        <v>806350.69000000006</v>
      </c>
      <c r="H8" s="37">
        <f>H5-H6-H7</f>
        <v>2047309.67</v>
      </c>
      <c r="I8" s="37">
        <f>I5-I6-I7</f>
        <v>822818.36</v>
      </c>
      <c r="J8" s="37">
        <f>J5-J6-J7</f>
        <v>487545.60000000003</v>
      </c>
      <c r="K8" s="83">
        <f>K5-K6-K7</f>
        <v>3357673.63</v>
      </c>
    </row>
    <row r="9" spans="1:12" s="20" customFormat="1" ht="14.25" thickBot="1">
      <c r="A9" s="21"/>
      <c r="B9" s="38" t="s">
        <v>105</v>
      </c>
      <c r="C9" s="79">
        <f>'[1]IPI EXP'!C33</f>
        <v>203623.91</v>
      </c>
      <c r="D9" s="39" t="str">
        <f>'[2]IPI EXP'!D33</f>
        <v>D</v>
      </c>
      <c r="F9" s="36"/>
    </row>
    <row r="10" spans="1:12" s="20" customFormat="1" ht="15.75" thickBot="1">
      <c r="A10" s="42"/>
      <c r="B10" s="43" t="s">
        <v>106</v>
      </c>
      <c r="C10" s="80">
        <f>'[1]IPI EXP'!C34</f>
        <v>3225402.76</v>
      </c>
      <c r="D10" s="44" t="str">
        <f>'[2]IPI EXP'!D34</f>
        <v>C</v>
      </c>
      <c r="F10" s="36"/>
      <c r="K10"/>
    </row>
    <row r="11" spans="1:12" ht="14.25" thickBot="1">
      <c r="A11" s="195"/>
      <c r="B11" s="45"/>
      <c r="C11" s="46"/>
      <c r="D11" s="47"/>
      <c r="F11" s="36"/>
      <c r="G11" s="20"/>
      <c r="H11" s="20"/>
      <c r="I11" s="20"/>
      <c r="J11" s="20"/>
      <c r="K11" s="20"/>
    </row>
    <row r="12" spans="1:12" ht="14.25" thickBot="1">
      <c r="A12" s="283" t="str">
        <f>'ipi CONV'!A2</f>
        <v>09.02.2024</v>
      </c>
      <c r="B12" s="18" t="s">
        <v>100</v>
      </c>
      <c r="C12" s="281">
        <f>'ipi CONV'!D2</f>
        <v>7754960.8399999999</v>
      </c>
      <c r="D12" s="19" t="str">
        <f>'ipi CONV'!E2</f>
        <v>C</v>
      </c>
      <c r="F12" s="36"/>
      <c r="G12" s="20"/>
      <c r="H12" s="20"/>
      <c r="I12" s="20"/>
      <c r="J12" s="20"/>
      <c r="K12" s="62"/>
    </row>
    <row r="13" spans="1:12" ht="14.25" thickBot="1">
      <c r="A13" s="21"/>
      <c r="B13" s="22" t="s">
        <v>101</v>
      </c>
      <c r="C13" s="76">
        <f>'ipi CONV'!D3</f>
        <v>2584986.9500000002</v>
      </c>
      <c r="D13" s="23" t="str">
        <f>'ipi CONV'!E3</f>
        <v>C</v>
      </c>
      <c r="F13" s="36"/>
      <c r="G13" s="20"/>
      <c r="H13" s="20"/>
      <c r="I13" s="20"/>
      <c r="J13" s="20"/>
      <c r="K13" s="20"/>
    </row>
    <row r="14" spans="1:12" ht="15.75" thickBot="1">
      <c r="A14" s="26"/>
      <c r="B14" s="27" t="s">
        <v>102</v>
      </c>
      <c r="C14" s="77">
        <f>'ipi CONV'!D4</f>
        <v>62039.68</v>
      </c>
      <c r="D14" s="29" t="str">
        <f>'ipi CONV'!E4</f>
        <v>D</v>
      </c>
      <c r="F14" s="36"/>
      <c r="J14" s="202"/>
      <c r="K14" s="206"/>
    </row>
    <row r="15" spans="1:12" ht="15.75" thickBot="1">
      <c r="A15" s="21"/>
      <c r="B15" s="32" t="s">
        <v>103</v>
      </c>
      <c r="C15" s="78">
        <f>'ipi CONV'!D5</f>
        <v>20679.89</v>
      </c>
      <c r="D15" s="33" t="str">
        <f>'ipi CONV'!E5</f>
        <v>D</v>
      </c>
      <c r="F15" s="36"/>
      <c r="G15" s="203"/>
      <c r="I15" s="202"/>
      <c r="J15" s="208"/>
      <c r="K15" s="207"/>
    </row>
    <row r="16" spans="1:12" ht="15.75" thickBot="1">
      <c r="A16" s="26"/>
      <c r="B16" s="27" t="s">
        <v>104</v>
      </c>
      <c r="C16" s="77">
        <f>'ipi CONV'!D6</f>
        <v>1550992.16</v>
      </c>
      <c r="D16" s="29" t="str">
        <f>'ipi CONV'!E6</f>
        <v>D</v>
      </c>
      <c r="F16" s="36"/>
      <c r="J16" s="202"/>
      <c r="K16" s="250"/>
    </row>
    <row r="17" spans="1:14" ht="14.25" thickBot="1">
      <c r="A17" s="21"/>
      <c r="B17" s="38" t="s">
        <v>105</v>
      </c>
      <c r="C17" s="79">
        <f>'ipi CONV'!D7</f>
        <v>516997.39</v>
      </c>
      <c r="D17" s="39" t="str">
        <f>'ipi CONV'!E7</f>
        <v>D</v>
      </c>
      <c r="F17" s="36"/>
      <c r="G17" s="204"/>
      <c r="H17" s="204"/>
      <c r="I17" s="204"/>
      <c r="J17" s="248"/>
      <c r="K17" s="251"/>
    </row>
    <row r="18" spans="1:14" ht="15.75" thickBot="1">
      <c r="A18" s="26"/>
      <c r="B18" s="27" t="s">
        <v>106</v>
      </c>
      <c r="C18" s="75">
        <f>'ipi CONV'!D8</f>
        <v>8189238.6699999999</v>
      </c>
      <c r="D18" s="41" t="str">
        <f>'ipi CONV'!E8</f>
        <v>C</v>
      </c>
      <c r="G18" s="205"/>
      <c r="H18" s="205"/>
      <c r="I18" s="205"/>
      <c r="J18" s="249"/>
      <c r="K18" s="252"/>
      <c r="N18" s="74"/>
    </row>
    <row r="19" spans="1:14" ht="14.25" thickBot="1">
      <c r="A19" s="26"/>
      <c r="B19" s="27"/>
      <c r="C19" s="40"/>
      <c r="D19" s="41"/>
      <c r="G19" s="204"/>
      <c r="H19" s="204"/>
      <c r="I19" s="204"/>
      <c r="J19" s="248"/>
      <c r="K19" s="253"/>
    </row>
    <row r="20" spans="1:14" ht="14.25" thickBot="1">
      <c r="A20" s="21" t="str">
        <f>'ipi CONV'!A10</f>
        <v>20.02.2024</v>
      </c>
      <c r="B20" s="27" t="s">
        <v>100</v>
      </c>
      <c r="C20" s="75">
        <f>'ipi CONV'!D10</f>
        <v>3116736.17</v>
      </c>
      <c r="D20" s="41" t="str">
        <f>'ipi CONV'!E10</f>
        <v>C</v>
      </c>
      <c r="F20" s="36"/>
      <c r="G20" s="205"/>
      <c r="H20" s="205"/>
      <c r="I20" s="205"/>
      <c r="J20" s="249"/>
      <c r="K20" s="252"/>
      <c r="L20" s="36"/>
      <c r="M20" s="36"/>
    </row>
    <row r="21" spans="1:14" ht="14.25" thickBot="1">
      <c r="A21" s="21"/>
      <c r="B21" s="22" t="s">
        <v>101</v>
      </c>
      <c r="C21" s="76">
        <f>'ipi CONV'!D11</f>
        <v>1038912.06</v>
      </c>
      <c r="D21" s="23" t="str">
        <f>'ipi CONV'!E11</f>
        <v>C</v>
      </c>
      <c r="F21" s="36"/>
      <c r="G21" s="204"/>
      <c r="H21" s="204"/>
      <c r="I21" s="204"/>
      <c r="J21" s="248"/>
      <c r="K21" s="253"/>
      <c r="L21" s="36"/>
      <c r="M21" s="36"/>
    </row>
    <row r="22" spans="1:14" ht="14.25" thickBot="1">
      <c r="A22" s="26"/>
      <c r="B22" s="27" t="s">
        <v>102</v>
      </c>
      <c r="C22" s="77">
        <f>'ipi CONV'!D12</f>
        <v>24933.88</v>
      </c>
      <c r="D22" s="29" t="str">
        <f>'ipi CONV'!E12</f>
        <v>D</v>
      </c>
      <c r="F22" s="36"/>
      <c r="G22" s="205"/>
      <c r="H22" s="205"/>
      <c r="I22" s="205"/>
      <c r="J22" s="249"/>
      <c r="K22" s="250"/>
      <c r="L22" s="36"/>
      <c r="M22" s="36"/>
    </row>
    <row r="23" spans="1:14" ht="14.25" thickBot="1">
      <c r="A23" s="21"/>
      <c r="B23" s="32" t="s">
        <v>103</v>
      </c>
      <c r="C23" s="78">
        <f>'ipi CONV'!D13</f>
        <v>8311.2900000000009</v>
      </c>
      <c r="D23" s="33" t="str">
        <f>'ipi CONV'!E13</f>
        <v>D</v>
      </c>
      <c r="F23" s="36"/>
      <c r="G23" s="36"/>
      <c r="H23" s="36"/>
      <c r="I23" s="36"/>
      <c r="J23" s="36"/>
      <c r="K23" s="36"/>
      <c r="L23" s="36"/>
      <c r="M23" s="36"/>
    </row>
    <row r="24" spans="1:14" ht="14.25" thickBot="1">
      <c r="A24" s="26"/>
      <c r="B24" s="27" t="s">
        <v>104</v>
      </c>
      <c r="C24" s="77">
        <f>'ipi CONV'!D14</f>
        <v>623347.23</v>
      </c>
      <c r="D24" s="29" t="str">
        <f>'ipi CONV'!E14</f>
        <v>D</v>
      </c>
      <c r="F24" s="36"/>
      <c r="G24" s="36"/>
      <c r="H24" s="36"/>
      <c r="I24" s="36"/>
      <c r="J24" s="36"/>
      <c r="K24" s="36"/>
      <c r="L24" s="36"/>
      <c r="M24" s="36"/>
    </row>
    <row r="25" spans="1:14" ht="14.25" thickBot="1">
      <c r="A25" s="21"/>
      <c r="B25" s="38" t="s">
        <v>105</v>
      </c>
      <c r="C25" s="79">
        <f>'ipi CONV'!D15</f>
        <v>207782.41</v>
      </c>
      <c r="D25" s="39" t="str">
        <f>'ipi CONV'!E15</f>
        <v>D</v>
      </c>
      <c r="F25" s="36"/>
      <c r="G25" s="36"/>
      <c r="H25" s="36"/>
      <c r="I25" s="36"/>
      <c r="J25" s="36"/>
      <c r="K25" s="36"/>
      <c r="L25" s="36"/>
      <c r="M25" s="36"/>
    </row>
    <row r="26" spans="1:14" ht="14.25" thickBot="1">
      <c r="A26" s="26"/>
      <c r="B26" s="27" t="s">
        <v>106</v>
      </c>
      <c r="C26" s="75">
        <f>'ipi CONV'!D16</f>
        <v>3291273.42</v>
      </c>
      <c r="D26" s="41" t="str">
        <f>'ipi CONV'!E16</f>
        <v>C</v>
      </c>
      <c r="F26" s="36"/>
      <c r="G26" s="36"/>
      <c r="H26" s="36"/>
      <c r="I26" s="36"/>
      <c r="J26" s="36"/>
      <c r="K26" s="36"/>
      <c r="L26" s="36"/>
      <c r="M26" s="36"/>
    </row>
    <row r="27" spans="1:14" ht="14.25" thickBot="1">
      <c r="A27" s="26"/>
      <c r="B27" s="27"/>
      <c r="C27" s="27"/>
      <c r="D27" s="194"/>
      <c r="F27" s="36"/>
      <c r="G27" s="36"/>
      <c r="H27" s="36"/>
      <c r="I27" s="36"/>
      <c r="J27" s="36"/>
      <c r="K27" s="36"/>
      <c r="L27" s="36"/>
      <c r="M27" s="36"/>
    </row>
    <row r="28" spans="1:14" ht="14.25" thickBot="1">
      <c r="A28" s="21" t="str">
        <f>'ipi CONV'!A18</f>
        <v>29.02.2024</v>
      </c>
      <c r="B28" s="27" t="s">
        <v>100</v>
      </c>
      <c r="C28" s="75">
        <f>'ipi CONV'!D18</f>
        <v>1846763.62</v>
      </c>
      <c r="D28" s="41" t="str">
        <f>'ipi CONV'!E18</f>
        <v>C</v>
      </c>
      <c r="F28" s="36"/>
      <c r="G28" s="36"/>
      <c r="H28" s="36"/>
      <c r="I28" s="36"/>
      <c r="J28" s="36"/>
      <c r="K28" s="36"/>
      <c r="L28" s="36"/>
      <c r="M28" s="36"/>
    </row>
    <row r="29" spans="1:14" ht="14.25" thickBot="1">
      <c r="A29" s="21"/>
      <c r="B29" s="22" t="s">
        <v>101</v>
      </c>
      <c r="C29" s="76">
        <f>'ipi CONV'!D19</f>
        <v>615587.87</v>
      </c>
      <c r="D29" s="23" t="str">
        <f>'ipi CONV'!E19</f>
        <v>C</v>
      </c>
      <c r="F29" s="36"/>
      <c r="G29" s="36"/>
      <c r="H29" s="36"/>
      <c r="I29" s="36"/>
      <c r="J29" s="36"/>
      <c r="K29" s="36"/>
      <c r="L29" s="36"/>
      <c r="M29" s="36"/>
    </row>
    <row r="30" spans="1:14" ht="14.25" thickBot="1">
      <c r="A30" s="26"/>
      <c r="B30" s="27" t="s">
        <v>102</v>
      </c>
      <c r="C30" s="77">
        <f>'ipi CONV'!D20</f>
        <v>14774.1</v>
      </c>
      <c r="D30" s="29" t="str">
        <f>'ipi CONV'!E20</f>
        <v>D</v>
      </c>
      <c r="F30" s="36"/>
      <c r="G30" s="36"/>
      <c r="H30" s="36"/>
      <c r="I30" s="36"/>
      <c r="J30" s="36"/>
      <c r="K30" s="36"/>
      <c r="L30" s="36"/>
      <c r="M30" s="36"/>
    </row>
    <row r="31" spans="1:14" ht="14.25" thickBot="1">
      <c r="A31" s="21"/>
      <c r="B31" s="32" t="s">
        <v>103</v>
      </c>
      <c r="C31" s="78">
        <f>'ipi CONV'!D21</f>
        <v>4924.7</v>
      </c>
      <c r="D31" s="33" t="str">
        <f>'ipi CONV'!E21</f>
        <v>D</v>
      </c>
      <c r="F31" s="36"/>
      <c r="G31" s="36"/>
      <c r="H31" s="36"/>
      <c r="I31" s="36"/>
      <c r="J31" s="36"/>
      <c r="K31" s="36"/>
      <c r="L31" s="36"/>
      <c r="M31" s="36"/>
    </row>
    <row r="32" spans="1:14" ht="14.25" thickBot="1">
      <c r="A32" s="26"/>
      <c r="B32" s="27" t="s">
        <v>104</v>
      </c>
      <c r="C32" s="77">
        <f>'ipi CONV'!D22</f>
        <v>369352.72</v>
      </c>
      <c r="D32" s="29" t="str">
        <f>'ipi CONV'!E22</f>
        <v>D</v>
      </c>
      <c r="F32" s="36"/>
      <c r="G32" s="36"/>
      <c r="H32" s="36"/>
      <c r="I32" s="36"/>
      <c r="J32" s="36"/>
      <c r="K32" s="36"/>
      <c r="L32" s="36"/>
      <c r="M32" s="36"/>
    </row>
    <row r="33" spans="1:13" ht="14.25" thickBot="1">
      <c r="A33" s="21"/>
      <c r="B33" s="38" t="s">
        <v>105</v>
      </c>
      <c r="C33" s="79">
        <f>'ipi CONV'!D23</f>
        <v>123117.57</v>
      </c>
      <c r="D33" s="39" t="str">
        <f>'ipi CONV'!E23</f>
        <v>D</v>
      </c>
      <c r="F33" s="36"/>
      <c r="G33" s="36"/>
      <c r="H33" s="36"/>
      <c r="I33" s="36"/>
      <c r="J33" s="36"/>
      <c r="K33" s="36"/>
      <c r="L33" s="36"/>
      <c r="M33" s="36"/>
    </row>
    <row r="34" spans="1:13" ht="14.25" thickBot="1">
      <c r="A34" s="42"/>
      <c r="B34" s="43" t="s">
        <v>106</v>
      </c>
      <c r="C34" s="80">
        <f>'ipi CONV'!D24</f>
        <v>1950182.3999999999</v>
      </c>
      <c r="D34" s="44" t="str">
        <f>'ipi CONV'!E24</f>
        <v>C</v>
      </c>
      <c r="F34" s="36"/>
      <c r="G34" s="36"/>
      <c r="H34" s="36"/>
      <c r="I34" s="36"/>
      <c r="J34" s="36"/>
      <c r="K34" s="36"/>
      <c r="L34" s="36"/>
      <c r="M34" s="36"/>
    </row>
    <row r="35" spans="1:13" ht="14.25" thickBot="1">
      <c r="A35" s="45"/>
      <c r="B35" s="45"/>
      <c r="C35" s="46"/>
      <c r="D35" s="47"/>
      <c r="F35" s="36"/>
      <c r="G35" s="36"/>
      <c r="H35" s="36"/>
      <c r="I35" s="36"/>
      <c r="J35" s="36"/>
      <c r="K35" s="36"/>
      <c r="L35" s="36"/>
      <c r="M35" s="36"/>
    </row>
    <row r="36" spans="1:13" ht="14.25" thickBot="1">
      <c r="A36" s="27"/>
      <c r="B36" s="27"/>
      <c r="C36" s="40"/>
      <c r="D36" s="48"/>
      <c r="F36" s="36"/>
      <c r="G36" s="36"/>
      <c r="H36" s="36"/>
      <c r="I36" s="36"/>
      <c r="J36" s="36"/>
      <c r="K36" s="36"/>
      <c r="L36" s="36"/>
      <c r="M36" s="36"/>
    </row>
    <row r="37" spans="1:13" ht="14.25" thickBot="1">
      <c r="A37" s="16"/>
      <c r="B37" s="16" t="s">
        <v>107</v>
      </c>
      <c r="C37" s="94">
        <f>C14+C15+C16+C17+C22+C23+C24+C25+C30+C31+C32+C33</f>
        <v>3527253.02</v>
      </c>
      <c r="D37" s="49" t="s">
        <v>110</v>
      </c>
      <c r="F37" s="36"/>
      <c r="G37" s="36"/>
      <c r="H37" s="36"/>
      <c r="I37" s="36"/>
      <c r="J37" s="36"/>
      <c r="K37" s="36"/>
      <c r="L37" s="36"/>
      <c r="M37" s="36"/>
    </row>
    <row r="38" spans="1:13" ht="14.25" thickBot="1">
      <c r="A38" s="27"/>
      <c r="B38" s="27" t="s">
        <v>108</v>
      </c>
      <c r="C38" s="284">
        <f>C12+C13+C20+C21+C28+C29</f>
        <v>16957947.510000002</v>
      </c>
      <c r="D38" s="50" t="s">
        <v>109</v>
      </c>
      <c r="F38" s="36"/>
      <c r="G38" s="36"/>
      <c r="H38" s="36"/>
      <c r="I38" s="36"/>
      <c r="J38" s="36"/>
      <c r="K38" s="36"/>
      <c r="L38" s="36"/>
      <c r="M38" s="36"/>
    </row>
    <row r="39" spans="1:13" ht="14.25" thickBot="1">
      <c r="A39" s="16"/>
      <c r="B39" s="16"/>
      <c r="C39" s="51"/>
      <c r="D39" s="52"/>
      <c r="F39" s="36"/>
      <c r="G39" s="36"/>
      <c r="H39" s="36"/>
      <c r="I39" s="36"/>
      <c r="J39" s="36"/>
      <c r="K39" s="36"/>
      <c r="L39" s="36"/>
      <c r="M39" s="36"/>
    </row>
    <row r="40" spans="1:13" ht="14.25" thickBot="1">
      <c r="A40" s="27" t="s">
        <v>268</v>
      </c>
      <c r="B40" s="27"/>
      <c r="C40" s="28"/>
      <c r="D40" s="53"/>
      <c r="F40" s="36"/>
      <c r="G40" s="36"/>
      <c r="H40" s="36"/>
      <c r="I40" s="36"/>
      <c r="J40" s="36"/>
      <c r="K40" s="36"/>
      <c r="L40" s="36"/>
      <c r="M40" s="36"/>
    </row>
    <row r="41" spans="1:13" ht="14.25" thickBot="1">
      <c r="A41" s="27"/>
      <c r="B41" s="27"/>
      <c r="C41" s="28"/>
      <c r="D41" s="53"/>
      <c r="F41" s="36"/>
      <c r="G41" s="36"/>
      <c r="H41" s="36"/>
      <c r="I41" s="36"/>
      <c r="J41" s="36"/>
      <c r="K41" s="36"/>
      <c r="L41" s="36"/>
      <c r="M41" s="36"/>
    </row>
    <row r="42" spans="1:13" ht="14.25" thickBot="1">
      <c r="A42" s="16"/>
      <c r="B42" s="16" t="s">
        <v>107</v>
      </c>
      <c r="C42" s="285">
        <f>'ipi CONV'!D39</f>
        <v>3527253.02</v>
      </c>
      <c r="D42" s="54" t="s">
        <v>110</v>
      </c>
      <c r="F42" s="36"/>
      <c r="G42" s="36"/>
      <c r="H42" s="36"/>
      <c r="I42" s="36"/>
      <c r="J42" s="36"/>
      <c r="K42" s="36"/>
      <c r="L42" s="36"/>
      <c r="M42" s="36"/>
    </row>
    <row r="43" spans="1:13" ht="14.25" thickBot="1">
      <c r="A43" s="27"/>
      <c r="B43" s="27" t="s">
        <v>108</v>
      </c>
      <c r="C43" s="284">
        <f>'ipi CONV'!D40</f>
        <v>16957947.510000002</v>
      </c>
      <c r="D43" s="55" t="s">
        <v>109</v>
      </c>
      <c r="F43" s="36"/>
      <c r="G43" s="36"/>
      <c r="H43" s="224"/>
      <c r="I43" s="36"/>
      <c r="J43" s="36"/>
      <c r="K43" s="36"/>
      <c r="L43" s="36"/>
      <c r="M43" s="36"/>
    </row>
    <row r="44" spans="1:13" ht="15.75" thickBot="1">
      <c r="H44" s="202"/>
      <c r="I44" s="252"/>
      <c r="J44"/>
      <c r="K44"/>
      <c r="L44"/>
      <c r="M44"/>
    </row>
    <row r="45" spans="1:13" ht="15">
      <c r="B45" s="14" t="s">
        <v>266</v>
      </c>
      <c r="C45" s="56">
        <f>C37-C42</f>
        <v>0</v>
      </c>
      <c r="G45" s="204"/>
      <c r="H45" s="248"/>
      <c r="I45" s="251"/>
      <c r="J45"/>
      <c r="K45"/>
      <c r="L45"/>
      <c r="M45"/>
    </row>
    <row r="46" spans="1:13" ht="15">
      <c r="C46" s="56">
        <f>C38-C43</f>
        <v>0</v>
      </c>
      <c r="G46" s="4"/>
      <c r="H46"/>
      <c r="I46"/>
      <c r="J46"/>
      <c r="K46"/>
      <c r="L46"/>
      <c r="M46"/>
    </row>
    <row r="47" spans="1:13" ht="15">
      <c r="G47" s="4"/>
      <c r="H47"/>
      <c r="I47"/>
      <c r="J47"/>
      <c r="K47"/>
      <c r="L47"/>
      <c r="M47"/>
    </row>
  </sheetData>
  <mergeCells count="2">
    <mergeCell ref="A1:G1"/>
    <mergeCell ref="A6:A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4" workbookViewId="0">
      <selection activeCell="E31" sqref="E31"/>
    </sheetView>
  </sheetViews>
  <sheetFormatPr defaultRowHeight="15"/>
  <cols>
    <col min="1" max="1" width="12.5703125" customWidth="1"/>
    <col min="2" max="2" width="12.7109375" customWidth="1"/>
    <col min="3" max="3" width="34" customWidth="1"/>
    <col min="4" max="4" width="18.28515625" customWidth="1"/>
    <col min="5" max="5" width="12.7109375" customWidth="1"/>
    <col min="6" max="6" width="12" customWidth="1"/>
    <col min="7" max="7" width="15.85546875" bestFit="1" customWidth="1"/>
  </cols>
  <sheetData>
    <row r="1" spans="1:7" ht="15.75" thickBot="1">
      <c r="A1" s="295"/>
      <c r="B1" s="295"/>
      <c r="C1" s="295"/>
      <c r="D1" s="295"/>
    </row>
    <row r="2" spans="1:7" ht="30.75" thickBot="1">
      <c r="A2" s="296" t="s">
        <v>593</v>
      </c>
      <c r="B2" s="205" t="s">
        <v>100</v>
      </c>
      <c r="C2" s="297" t="s">
        <v>594</v>
      </c>
      <c r="D2" s="280">
        <f>VALUE(RIGHT(LEFT(C2,(SEARCH(",",C2)+2)),LEN(LEFT(C2,(SEARCH(",",C2)+2)))-3))</f>
        <v>7754960.8399999999</v>
      </c>
      <c r="E2" t="str">
        <f>RIGHT(C2,1)</f>
        <v>C</v>
      </c>
      <c r="G2" s="280"/>
    </row>
    <row r="3" spans="1:7" ht="15.75" thickBot="1">
      <c r="A3" s="203"/>
      <c r="B3" s="204" t="s">
        <v>101</v>
      </c>
      <c r="C3" s="298" t="s">
        <v>595</v>
      </c>
      <c r="D3" s="280">
        <f t="shared" ref="D3:D40" si="0">VALUE(RIGHT(LEFT(C3,(SEARCH(",",C3)+2)),LEN(LEFT(C3,(SEARCH(",",C3)+2)))-3))</f>
        <v>2584986.9500000002</v>
      </c>
      <c r="E3" t="str">
        <f t="shared" ref="E3:E8" si="1">RIGHT(C3,1)</f>
        <v>C</v>
      </c>
    </row>
    <row r="4" spans="1:7" ht="15.75" thickBot="1">
      <c r="A4" s="296"/>
      <c r="B4" s="205" t="s">
        <v>102</v>
      </c>
      <c r="C4" s="299" t="s">
        <v>596</v>
      </c>
      <c r="D4" s="280">
        <f t="shared" si="0"/>
        <v>62039.68</v>
      </c>
      <c r="E4" t="str">
        <f t="shared" si="1"/>
        <v>D</v>
      </c>
    </row>
    <row r="5" spans="1:7" ht="23.25" thickBot="1">
      <c r="A5" s="203"/>
      <c r="B5" s="204" t="s">
        <v>103</v>
      </c>
      <c r="C5" s="300" t="s">
        <v>597</v>
      </c>
      <c r="D5" s="280">
        <f t="shared" si="0"/>
        <v>20679.89</v>
      </c>
      <c r="E5" t="str">
        <f t="shared" si="1"/>
        <v>D</v>
      </c>
    </row>
    <row r="6" spans="1:7" ht="23.25" thickBot="1">
      <c r="A6" s="296"/>
      <c r="B6" s="205" t="s">
        <v>104</v>
      </c>
      <c r="C6" s="299" t="s">
        <v>598</v>
      </c>
      <c r="D6" s="280">
        <f t="shared" si="0"/>
        <v>1550992.16</v>
      </c>
      <c r="E6" t="str">
        <f t="shared" si="1"/>
        <v>D</v>
      </c>
    </row>
    <row r="7" spans="1:7" ht="15.75" thickBot="1">
      <c r="A7" s="203"/>
      <c r="B7" s="204" t="s">
        <v>105</v>
      </c>
      <c r="C7" s="300" t="s">
        <v>599</v>
      </c>
      <c r="D7" s="280">
        <f t="shared" si="0"/>
        <v>516997.39</v>
      </c>
      <c r="E7" t="str">
        <f t="shared" si="1"/>
        <v>D</v>
      </c>
    </row>
    <row r="8" spans="1:7" ht="15.75" thickBot="1">
      <c r="A8" s="296"/>
      <c r="B8" s="205" t="s">
        <v>106</v>
      </c>
      <c r="C8" s="297" t="s">
        <v>600</v>
      </c>
      <c r="D8" s="280">
        <f t="shared" si="0"/>
        <v>8189238.6699999999</v>
      </c>
      <c r="E8" t="str">
        <f t="shared" si="1"/>
        <v>C</v>
      </c>
    </row>
    <row r="9" spans="1:7" ht="15.75" thickBot="1">
      <c r="A9" s="203"/>
      <c r="B9" s="204"/>
      <c r="C9" s="414"/>
      <c r="D9" s="280"/>
    </row>
    <row r="10" spans="1:7" ht="30.75" thickBot="1">
      <c r="A10" s="296" t="s">
        <v>601</v>
      </c>
      <c r="B10" s="205" t="s">
        <v>100</v>
      </c>
      <c r="C10" s="297" t="s">
        <v>602</v>
      </c>
      <c r="D10" s="280">
        <f t="shared" si="0"/>
        <v>3116736.17</v>
      </c>
      <c r="E10" t="str">
        <f t="shared" ref="E10:E40" si="2">RIGHT(C10,1)</f>
        <v>C</v>
      </c>
    </row>
    <row r="11" spans="1:7" ht="15.75" thickBot="1">
      <c r="A11" s="203"/>
      <c r="B11" s="204" t="s">
        <v>101</v>
      </c>
      <c r="C11" s="298" t="s">
        <v>603</v>
      </c>
      <c r="D11" s="280">
        <f t="shared" si="0"/>
        <v>1038912.06</v>
      </c>
      <c r="E11" t="str">
        <f t="shared" si="2"/>
        <v>C</v>
      </c>
    </row>
    <row r="12" spans="1:7" ht="15.75" thickBot="1">
      <c r="A12" s="296"/>
      <c r="B12" s="205" t="s">
        <v>102</v>
      </c>
      <c r="C12" s="299" t="s">
        <v>604</v>
      </c>
      <c r="D12" s="280">
        <f t="shared" si="0"/>
        <v>24933.88</v>
      </c>
      <c r="E12" t="str">
        <f t="shared" si="2"/>
        <v>D</v>
      </c>
    </row>
    <row r="13" spans="1:7" ht="23.25" thickBot="1">
      <c r="A13" s="203"/>
      <c r="B13" s="204" t="s">
        <v>103</v>
      </c>
      <c r="C13" s="300" t="s">
        <v>605</v>
      </c>
      <c r="D13" s="280">
        <f t="shared" si="0"/>
        <v>8311.2900000000009</v>
      </c>
      <c r="E13" t="str">
        <f t="shared" si="2"/>
        <v>D</v>
      </c>
    </row>
    <row r="14" spans="1:7" ht="23.25" thickBot="1">
      <c r="A14" s="296"/>
      <c r="B14" s="205" t="s">
        <v>104</v>
      </c>
      <c r="C14" s="299" t="s">
        <v>606</v>
      </c>
      <c r="D14" s="280">
        <f t="shared" si="0"/>
        <v>623347.23</v>
      </c>
      <c r="E14" t="str">
        <f t="shared" si="2"/>
        <v>D</v>
      </c>
    </row>
    <row r="15" spans="1:7" ht="15.75" thickBot="1">
      <c r="A15" s="203"/>
      <c r="B15" s="204" t="s">
        <v>105</v>
      </c>
      <c r="C15" s="300" t="s">
        <v>607</v>
      </c>
      <c r="D15" s="280">
        <f t="shared" si="0"/>
        <v>207782.41</v>
      </c>
      <c r="E15" t="str">
        <f t="shared" si="2"/>
        <v>D</v>
      </c>
    </row>
    <row r="16" spans="1:7" ht="15.75" thickBot="1">
      <c r="A16" s="296"/>
      <c r="B16" s="205" t="s">
        <v>106</v>
      </c>
      <c r="C16" s="297" t="s">
        <v>608</v>
      </c>
      <c r="D16" s="280">
        <f t="shared" si="0"/>
        <v>3291273.42</v>
      </c>
      <c r="E16" t="str">
        <f t="shared" si="2"/>
        <v>C</v>
      </c>
    </row>
    <row r="17" spans="1:5" ht="15.75" thickBot="1">
      <c r="A17" s="203"/>
      <c r="B17" s="204"/>
      <c r="C17" s="414"/>
      <c r="D17" s="280"/>
      <c r="E17" t="str">
        <f t="shared" si="2"/>
        <v/>
      </c>
    </row>
    <row r="18" spans="1:5" ht="30.75" thickBot="1">
      <c r="A18" s="296" t="s">
        <v>609</v>
      </c>
      <c r="B18" s="205" t="s">
        <v>100</v>
      </c>
      <c r="C18" s="297" t="s">
        <v>610</v>
      </c>
      <c r="D18" s="280">
        <f t="shared" si="0"/>
        <v>1846763.62</v>
      </c>
      <c r="E18" t="str">
        <f t="shared" si="2"/>
        <v>C</v>
      </c>
    </row>
    <row r="19" spans="1:5" ht="15.75" thickBot="1">
      <c r="A19" s="203"/>
      <c r="B19" s="204" t="s">
        <v>101</v>
      </c>
      <c r="C19" s="298" t="s">
        <v>611</v>
      </c>
      <c r="D19" s="280">
        <f t="shared" si="0"/>
        <v>615587.87</v>
      </c>
      <c r="E19" t="str">
        <f t="shared" si="2"/>
        <v>C</v>
      </c>
    </row>
    <row r="20" spans="1:5" ht="15.75" thickBot="1">
      <c r="A20" s="296"/>
      <c r="B20" s="205" t="s">
        <v>102</v>
      </c>
      <c r="C20" s="299" t="s">
        <v>612</v>
      </c>
      <c r="D20" s="280">
        <f t="shared" si="0"/>
        <v>14774.1</v>
      </c>
      <c r="E20" t="str">
        <f t="shared" si="2"/>
        <v>D</v>
      </c>
    </row>
    <row r="21" spans="1:5" ht="23.25" thickBot="1">
      <c r="A21" s="203"/>
      <c r="B21" s="204" t="s">
        <v>103</v>
      </c>
      <c r="C21" s="300" t="s">
        <v>613</v>
      </c>
      <c r="D21" s="280">
        <f t="shared" si="0"/>
        <v>4924.7</v>
      </c>
      <c r="E21" t="str">
        <f t="shared" si="2"/>
        <v>D</v>
      </c>
    </row>
    <row r="22" spans="1:5" ht="23.25" thickBot="1">
      <c r="A22" s="296"/>
      <c r="B22" s="205" t="s">
        <v>104</v>
      </c>
      <c r="C22" s="299" t="s">
        <v>614</v>
      </c>
      <c r="D22" s="280">
        <f t="shared" si="0"/>
        <v>369352.72</v>
      </c>
      <c r="E22" t="str">
        <f t="shared" si="2"/>
        <v>D</v>
      </c>
    </row>
    <row r="23" spans="1:5" ht="15.75" thickBot="1">
      <c r="A23" s="203"/>
      <c r="B23" s="204" t="s">
        <v>105</v>
      </c>
      <c r="C23" s="300" t="s">
        <v>615</v>
      </c>
      <c r="D23" s="280">
        <f t="shared" si="0"/>
        <v>123117.57</v>
      </c>
      <c r="E23" t="str">
        <f t="shared" si="2"/>
        <v>D</v>
      </c>
    </row>
    <row r="24" spans="1:5" ht="15.75" thickBot="1">
      <c r="A24" s="296"/>
      <c r="B24" s="205" t="s">
        <v>106</v>
      </c>
      <c r="C24" s="297" t="s">
        <v>616</v>
      </c>
      <c r="D24" s="280">
        <f t="shared" si="0"/>
        <v>1950182.3999999999</v>
      </c>
      <c r="E24" t="str">
        <f t="shared" si="2"/>
        <v>C</v>
      </c>
    </row>
    <row r="25" spans="1:5" ht="15.75" thickBot="1">
      <c r="A25" s="203"/>
      <c r="B25" s="204"/>
      <c r="C25" s="414"/>
      <c r="D25" s="280"/>
      <c r="E25" t="str">
        <f t="shared" si="2"/>
        <v/>
      </c>
    </row>
    <row r="26" spans="1:5" ht="15.75" thickBot="1">
      <c r="A26" s="296" t="s">
        <v>399</v>
      </c>
      <c r="B26" s="205" t="s">
        <v>100</v>
      </c>
      <c r="C26" s="297" t="s">
        <v>617</v>
      </c>
      <c r="D26" s="280">
        <f t="shared" si="0"/>
        <v>12718460.630000001</v>
      </c>
      <c r="E26" t="str">
        <f t="shared" si="2"/>
        <v>C</v>
      </c>
    </row>
    <row r="27" spans="1:5" ht="15.75" thickBot="1">
      <c r="A27" s="203"/>
      <c r="B27" s="204" t="s">
        <v>101</v>
      </c>
      <c r="C27" s="298" t="s">
        <v>618</v>
      </c>
      <c r="D27" s="280">
        <f t="shared" si="0"/>
        <v>4239486.88</v>
      </c>
      <c r="E27" t="str">
        <f t="shared" si="2"/>
        <v>C</v>
      </c>
    </row>
    <row r="28" spans="1:5" ht="15.75" thickBot="1">
      <c r="A28" s="296"/>
      <c r="B28" s="205" t="s">
        <v>102</v>
      </c>
      <c r="C28" s="299" t="s">
        <v>619</v>
      </c>
      <c r="D28" s="280">
        <f t="shared" si="0"/>
        <v>101747.66</v>
      </c>
      <c r="E28" t="str">
        <f t="shared" si="2"/>
        <v>D</v>
      </c>
    </row>
    <row r="29" spans="1:5" ht="23.25" thickBot="1">
      <c r="A29" s="203"/>
      <c r="B29" s="204" t="s">
        <v>103</v>
      </c>
      <c r="C29" s="300" t="s">
        <v>620</v>
      </c>
      <c r="D29" s="280">
        <f t="shared" si="0"/>
        <v>33915.879999999997</v>
      </c>
      <c r="E29" t="str">
        <f t="shared" si="2"/>
        <v>D</v>
      </c>
    </row>
    <row r="30" spans="1:5" ht="23.25" thickBot="1">
      <c r="A30" s="296"/>
      <c r="B30" s="205" t="s">
        <v>104</v>
      </c>
      <c r="C30" s="299" t="s">
        <v>621</v>
      </c>
      <c r="D30" s="280">
        <f t="shared" si="0"/>
        <v>2543692.11</v>
      </c>
      <c r="E30" t="str">
        <f t="shared" si="2"/>
        <v>D</v>
      </c>
    </row>
    <row r="31" spans="1:5" ht="15.75" thickBot="1">
      <c r="A31" s="203"/>
      <c r="B31" s="204" t="s">
        <v>105</v>
      </c>
      <c r="C31" s="300" t="s">
        <v>622</v>
      </c>
      <c r="D31" s="280">
        <f t="shared" si="0"/>
        <v>847897.37</v>
      </c>
      <c r="E31" t="str">
        <f t="shared" si="2"/>
        <v>D</v>
      </c>
    </row>
    <row r="32" spans="1:5" ht="15.75" thickBot="1">
      <c r="A32" s="276"/>
      <c r="B32" s="276"/>
      <c r="C32" s="277"/>
      <c r="D32" s="280"/>
      <c r="E32" t="str">
        <f t="shared" si="2"/>
        <v/>
      </c>
    </row>
    <row r="33" spans="1:5" ht="15.75" thickBot="1">
      <c r="A33" s="278"/>
      <c r="B33" s="204" t="s">
        <v>107</v>
      </c>
      <c r="C33" s="300" t="s">
        <v>623</v>
      </c>
      <c r="D33" s="280">
        <f t="shared" si="0"/>
        <v>3527253.02</v>
      </c>
      <c r="E33" t="str">
        <f t="shared" si="2"/>
        <v>D</v>
      </c>
    </row>
    <row r="34" spans="1:5" ht="15.75" thickBot="1">
      <c r="A34" s="276"/>
      <c r="B34" s="205" t="s">
        <v>108</v>
      </c>
      <c r="C34" s="297" t="s">
        <v>624</v>
      </c>
      <c r="D34" s="280">
        <f t="shared" si="0"/>
        <v>16957947.510000002</v>
      </c>
      <c r="E34" t="str">
        <f t="shared" si="2"/>
        <v>C</v>
      </c>
    </row>
    <row r="35" spans="1:5">
      <c r="A35" s="278"/>
      <c r="B35" s="278"/>
      <c r="C35" s="279"/>
      <c r="D35" s="280"/>
      <c r="E35" t="str">
        <f t="shared" si="2"/>
        <v/>
      </c>
    </row>
    <row r="36" spans="1:5" ht="15" customHeight="1">
      <c r="A36" s="449" t="s">
        <v>400</v>
      </c>
      <c r="B36" s="449"/>
      <c r="C36" s="449"/>
      <c r="D36" s="449"/>
      <c r="E36" s="449"/>
    </row>
    <row r="37" spans="1:5" ht="15.75" thickBot="1">
      <c r="A37" s="282"/>
      <c r="B37" s="282"/>
      <c r="C37" s="282"/>
      <c r="D37" s="280"/>
      <c r="E37" t="str">
        <f t="shared" si="2"/>
        <v/>
      </c>
    </row>
    <row r="38" spans="1:5" ht="15.75" thickBot="1">
      <c r="A38" s="278"/>
      <c r="B38" s="278"/>
      <c r="C38" s="279"/>
      <c r="D38" s="280"/>
      <c r="E38" t="str">
        <f t="shared" si="2"/>
        <v/>
      </c>
    </row>
    <row r="39" spans="1:5" ht="15.75" thickBot="1">
      <c r="A39" s="276"/>
      <c r="B39" s="205" t="s">
        <v>401</v>
      </c>
      <c r="C39" s="299" t="s">
        <v>623</v>
      </c>
      <c r="D39" s="280">
        <f t="shared" si="0"/>
        <v>3527253.02</v>
      </c>
      <c r="E39" t="str">
        <f t="shared" si="2"/>
        <v>D</v>
      </c>
    </row>
    <row r="40" spans="1:5" ht="22.5">
      <c r="A40" s="278"/>
      <c r="B40" s="279" t="s">
        <v>402</v>
      </c>
      <c r="C40" s="415" t="s">
        <v>624</v>
      </c>
      <c r="D40" s="280">
        <f t="shared" si="0"/>
        <v>16957947.510000002</v>
      </c>
      <c r="E40" t="str">
        <f t="shared" si="2"/>
        <v>C</v>
      </c>
    </row>
  </sheetData>
  <mergeCells count="1">
    <mergeCell ref="A36:E3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68"/>
  <sheetViews>
    <sheetView zoomScale="70" zoomScaleNormal="70" workbookViewId="0">
      <pane ySplit="3" topLeftCell="A49" activePane="bottomLeft" state="frozen"/>
      <selection activeCell="A3" sqref="A3"/>
      <selection pane="bottomLeft" activeCell="P88" sqref="P88"/>
    </sheetView>
  </sheetViews>
  <sheetFormatPr defaultColWidth="9.140625" defaultRowHeight="15"/>
  <cols>
    <col min="1" max="1" width="40.85546875" style="11" bestFit="1" customWidth="1"/>
    <col min="2" max="3" width="16.85546875" style="13" bestFit="1" customWidth="1"/>
    <col min="4" max="4" width="18.140625" style="13" customWidth="1"/>
    <col min="5" max="5" width="6.5703125" style="11" customWidth="1"/>
    <col min="6" max="6" width="18.28515625" style="11" bestFit="1" customWidth="1"/>
    <col min="7" max="7" width="16.7109375" style="11" customWidth="1"/>
    <col min="8" max="8" width="20.85546875" style="11" bestFit="1" customWidth="1"/>
    <col min="9" max="9" width="5.85546875" style="11" customWidth="1"/>
    <col min="10" max="12" width="19.7109375" style="97" customWidth="1"/>
    <col min="13" max="13" width="5.7109375" style="11" customWidth="1"/>
    <col min="14" max="14" width="18.28515625" style="11" bestFit="1" customWidth="1"/>
    <col min="15" max="15" width="16.85546875" style="11" bestFit="1" customWidth="1"/>
    <col min="16" max="16" width="20.85546875" style="11" bestFit="1" customWidth="1"/>
    <col min="17" max="16384" width="9.140625" style="11"/>
  </cols>
  <sheetData>
    <row r="1" spans="1:16" s="295" customFormat="1">
      <c r="A1" s="304"/>
      <c r="B1" s="443">
        <f ca="1">TODAY()-30</f>
        <v>45348</v>
      </c>
      <c r="C1" s="443"/>
      <c r="D1" s="443"/>
      <c r="F1" s="443">
        <f ca="1">B1</f>
        <v>45348</v>
      </c>
      <c r="G1" s="443"/>
      <c r="H1" s="443"/>
      <c r="J1" s="444">
        <f ca="1">B1</f>
        <v>45348</v>
      </c>
      <c r="K1" s="444"/>
      <c r="L1" s="444"/>
      <c r="N1" s="443">
        <f ca="1">B1+31</f>
        <v>45379</v>
      </c>
      <c r="O1" s="443"/>
      <c r="P1" s="443"/>
    </row>
    <row r="2" spans="1:16" s="295" customFormat="1">
      <c r="A2" s="312"/>
      <c r="B2" s="450" t="s">
        <v>592</v>
      </c>
      <c r="C2" s="450"/>
      <c r="D2" s="450"/>
      <c r="F2" s="450" t="s">
        <v>591</v>
      </c>
      <c r="G2" s="450"/>
      <c r="H2" s="450"/>
      <c r="J2" s="451" t="str">
        <f>"Total transferido - "&amp;LEFT(B2,2)&amp;" a "&amp;RIGHT(F2,2)</f>
        <v>Total transferido - 01 a 29</v>
      </c>
      <c r="K2" s="451"/>
      <c r="L2" s="451"/>
      <c r="N2" s="450" t="s">
        <v>590</v>
      </c>
      <c r="O2" s="450"/>
      <c r="P2" s="450"/>
    </row>
    <row r="3" spans="1:16">
      <c r="B3" s="301" t="s">
        <v>263</v>
      </c>
      <c r="C3" s="301" t="s">
        <v>264</v>
      </c>
      <c r="D3" s="301" t="s">
        <v>265</v>
      </c>
      <c r="E3" s="301"/>
      <c r="F3" s="301" t="s">
        <v>263</v>
      </c>
      <c r="G3" s="301" t="s">
        <v>264</v>
      </c>
      <c r="H3" s="301" t="s">
        <v>265</v>
      </c>
      <c r="I3" s="301"/>
      <c r="J3" s="301" t="s">
        <v>263</v>
      </c>
      <c r="K3" s="301" t="s">
        <v>264</v>
      </c>
      <c r="L3" s="301" t="s">
        <v>265</v>
      </c>
      <c r="M3" s="301"/>
      <c r="N3" s="301" t="s">
        <v>263</v>
      </c>
      <c r="O3" s="301" t="s">
        <v>264</v>
      </c>
      <c r="P3" s="301" t="s">
        <v>265</v>
      </c>
    </row>
    <row r="4" spans="1:16">
      <c r="A4" s="59" t="s">
        <v>199</v>
      </c>
      <c r="B4" s="3">
        <v>22344.69</v>
      </c>
      <c r="C4" s="3">
        <v>4468.93</v>
      </c>
      <c r="D4" s="3">
        <v>17875.760000000002</v>
      </c>
      <c r="F4" s="3">
        <v>99392.47</v>
      </c>
      <c r="G4" s="3">
        <v>19878.449999999997</v>
      </c>
      <c r="H4" s="3">
        <v>79514.01999999999</v>
      </c>
      <c r="J4" s="187">
        <f t="shared" ref="J4:J35" si="0">B4+F4</f>
        <v>121737.16</v>
      </c>
      <c r="K4" s="187">
        <f t="shared" ref="K4:K35" si="1">C4+G4</f>
        <v>24347.379999999997</v>
      </c>
      <c r="L4" s="187">
        <f>J4-K4</f>
        <v>97389.78</v>
      </c>
      <c r="N4" s="3">
        <v>22422.080000000002</v>
      </c>
      <c r="O4" s="3">
        <v>4484.41</v>
      </c>
      <c r="P4" s="3">
        <v>17937.669999999998</v>
      </c>
    </row>
    <row r="5" spans="1:16">
      <c r="A5" s="59" t="s">
        <v>200</v>
      </c>
      <c r="B5" s="3">
        <v>948.12</v>
      </c>
      <c r="C5" s="3">
        <v>189.61</v>
      </c>
      <c r="D5" s="3">
        <v>758.51</v>
      </c>
      <c r="F5" s="3">
        <v>33882.1</v>
      </c>
      <c r="G5" s="3">
        <v>6776.3399999999992</v>
      </c>
      <c r="H5" s="3">
        <v>27105.760000000002</v>
      </c>
      <c r="J5" s="187">
        <f t="shared" si="0"/>
        <v>34830.22</v>
      </c>
      <c r="K5" s="187">
        <f t="shared" si="1"/>
        <v>6965.9499999999989</v>
      </c>
      <c r="L5" s="187">
        <f t="shared" ref="L5:L68" si="2">J5-K5</f>
        <v>27864.270000000004</v>
      </c>
      <c r="N5" s="3">
        <v>4944.72</v>
      </c>
      <c r="O5" s="3">
        <v>988.93000000000006</v>
      </c>
      <c r="P5" s="3">
        <v>3955.79</v>
      </c>
    </row>
    <row r="6" spans="1:16">
      <c r="A6" s="59" t="s">
        <v>201</v>
      </c>
      <c r="B6" s="3">
        <v>8208.39</v>
      </c>
      <c r="C6" s="3">
        <v>1641.67</v>
      </c>
      <c r="D6" s="3">
        <v>6566.72</v>
      </c>
      <c r="F6" s="3">
        <v>26805.030000000002</v>
      </c>
      <c r="G6" s="3">
        <v>5360.93</v>
      </c>
      <c r="H6" s="3">
        <v>21444.1</v>
      </c>
      <c r="J6" s="187">
        <f t="shared" si="0"/>
        <v>35013.42</v>
      </c>
      <c r="K6" s="187">
        <f t="shared" si="1"/>
        <v>7002.6</v>
      </c>
      <c r="L6" s="187">
        <f t="shared" si="2"/>
        <v>28010.82</v>
      </c>
      <c r="N6" s="3">
        <v>4700.45</v>
      </c>
      <c r="O6" s="3">
        <v>940.07999999999993</v>
      </c>
      <c r="P6" s="3">
        <v>3760.37</v>
      </c>
    </row>
    <row r="7" spans="1:16">
      <c r="A7" s="59" t="s">
        <v>202</v>
      </c>
      <c r="B7" s="3">
        <v>20932.02</v>
      </c>
      <c r="C7" s="3">
        <v>4186.3900000000003</v>
      </c>
      <c r="D7" s="3">
        <v>16745.629999999997</v>
      </c>
      <c r="F7" s="3">
        <v>80606.26999999999</v>
      </c>
      <c r="G7" s="3">
        <v>16121.189999999999</v>
      </c>
      <c r="H7" s="3">
        <v>64485.079999999994</v>
      </c>
      <c r="J7" s="187">
        <f t="shared" si="0"/>
        <v>101538.29</v>
      </c>
      <c r="K7" s="187">
        <f t="shared" si="1"/>
        <v>20307.579999999998</v>
      </c>
      <c r="L7" s="187">
        <f t="shared" si="2"/>
        <v>81230.709999999992</v>
      </c>
      <c r="N7" s="3">
        <v>14602.73</v>
      </c>
      <c r="O7" s="3">
        <v>2920.54</v>
      </c>
      <c r="P7" s="3">
        <v>11682.189999999999</v>
      </c>
    </row>
    <row r="8" spans="1:16">
      <c r="A8" s="59" t="s">
        <v>203</v>
      </c>
      <c r="B8" s="3">
        <v>11421.01</v>
      </c>
      <c r="C8" s="3">
        <v>2284.19</v>
      </c>
      <c r="D8" s="3">
        <v>9136.82</v>
      </c>
      <c r="F8" s="3">
        <v>100908.36</v>
      </c>
      <c r="G8" s="3">
        <v>20181.61</v>
      </c>
      <c r="H8" s="3">
        <v>80726.75</v>
      </c>
      <c r="J8" s="187">
        <f t="shared" si="0"/>
        <v>112329.37</v>
      </c>
      <c r="K8" s="187">
        <f t="shared" si="1"/>
        <v>22465.8</v>
      </c>
      <c r="L8" s="187">
        <f t="shared" si="2"/>
        <v>89863.569999999992</v>
      </c>
      <c r="N8" s="3">
        <v>27262.58</v>
      </c>
      <c r="O8" s="3">
        <v>5452.5</v>
      </c>
      <c r="P8" s="3">
        <v>21810.080000000002</v>
      </c>
    </row>
    <row r="9" spans="1:16">
      <c r="A9" s="59" t="s">
        <v>204</v>
      </c>
      <c r="B9" s="3">
        <v>1828.62</v>
      </c>
      <c r="C9" s="3">
        <v>365.71000000000004</v>
      </c>
      <c r="D9" s="3">
        <v>1462.91</v>
      </c>
      <c r="F9" s="3">
        <v>11478.230000000001</v>
      </c>
      <c r="G9" s="3">
        <v>2295.59</v>
      </c>
      <c r="H9" s="3">
        <v>9182.64</v>
      </c>
      <c r="J9" s="187">
        <f t="shared" si="0"/>
        <v>13306.850000000002</v>
      </c>
      <c r="K9" s="187">
        <f t="shared" si="1"/>
        <v>2661.3</v>
      </c>
      <c r="L9" s="187">
        <f t="shared" si="2"/>
        <v>10645.550000000003</v>
      </c>
      <c r="N9" s="3">
        <v>1498.94</v>
      </c>
      <c r="O9" s="3">
        <v>299.78000000000003</v>
      </c>
      <c r="P9" s="3">
        <v>1199.1600000000001</v>
      </c>
    </row>
    <row r="10" spans="1:16">
      <c r="A10" s="59" t="s">
        <v>205</v>
      </c>
      <c r="B10" s="3">
        <v>31539.29</v>
      </c>
      <c r="C10" s="3">
        <v>6307.85</v>
      </c>
      <c r="D10" s="3">
        <v>25231.440000000002</v>
      </c>
      <c r="F10" s="3">
        <v>163559.92000000001</v>
      </c>
      <c r="G10" s="3">
        <v>32711.899999999994</v>
      </c>
      <c r="H10" s="3">
        <v>130848.02</v>
      </c>
      <c r="J10" s="187">
        <f t="shared" si="0"/>
        <v>195099.21000000002</v>
      </c>
      <c r="K10" s="187">
        <f t="shared" si="1"/>
        <v>39019.749999999993</v>
      </c>
      <c r="L10" s="187">
        <f t="shared" si="2"/>
        <v>156079.46000000002</v>
      </c>
      <c r="N10" s="3">
        <v>22431.38</v>
      </c>
      <c r="O10" s="3">
        <v>4486.2700000000004</v>
      </c>
      <c r="P10" s="3">
        <v>17945.11</v>
      </c>
    </row>
    <row r="11" spans="1:16">
      <c r="A11" s="59" t="s">
        <v>206</v>
      </c>
      <c r="B11" s="3">
        <v>8164.33</v>
      </c>
      <c r="C11" s="3">
        <v>1632.8600000000001</v>
      </c>
      <c r="D11" s="3">
        <v>6531.47</v>
      </c>
      <c r="F11" s="3">
        <v>58988.07</v>
      </c>
      <c r="G11" s="3">
        <v>11797.539999999999</v>
      </c>
      <c r="H11" s="3">
        <v>47190.53</v>
      </c>
      <c r="J11" s="187">
        <f t="shared" si="0"/>
        <v>67152.399999999994</v>
      </c>
      <c r="K11" s="187">
        <f t="shared" si="1"/>
        <v>13430.4</v>
      </c>
      <c r="L11" s="187">
        <f t="shared" si="2"/>
        <v>53721.999999999993</v>
      </c>
      <c r="N11" s="3">
        <v>9130.56</v>
      </c>
      <c r="O11" s="3">
        <v>1826.1100000000001</v>
      </c>
      <c r="P11" s="3">
        <v>7304.4500000000007</v>
      </c>
    </row>
    <row r="12" spans="1:16">
      <c r="A12" s="59" t="s">
        <v>84</v>
      </c>
      <c r="B12" s="3">
        <v>95479.26999999999</v>
      </c>
      <c r="C12" s="3">
        <v>19095.849999999999</v>
      </c>
      <c r="D12" s="3">
        <v>76383.42</v>
      </c>
      <c r="F12" s="3">
        <v>399329.22999999992</v>
      </c>
      <c r="G12" s="3">
        <v>79865.76999999999</v>
      </c>
      <c r="H12" s="3">
        <v>319463.46000000002</v>
      </c>
      <c r="J12" s="187">
        <f t="shared" si="0"/>
        <v>494808.49999999988</v>
      </c>
      <c r="K12" s="187">
        <f t="shared" si="1"/>
        <v>98961.62</v>
      </c>
      <c r="L12" s="187">
        <f t="shared" si="2"/>
        <v>395846.87999999989</v>
      </c>
      <c r="N12" s="3">
        <v>71207.13</v>
      </c>
      <c r="O12" s="3">
        <v>14241.42</v>
      </c>
      <c r="P12" s="3">
        <v>56965.71</v>
      </c>
    </row>
    <row r="13" spans="1:16">
      <c r="A13" s="59" t="s">
        <v>207</v>
      </c>
      <c r="B13" s="3">
        <v>5970.8</v>
      </c>
      <c r="C13" s="3">
        <v>1194.1500000000001</v>
      </c>
      <c r="D13" s="3">
        <v>4776.6499999999996</v>
      </c>
      <c r="F13" s="3">
        <v>23141.829999999998</v>
      </c>
      <c r="G13" s="3">
        <v>4628.3</v>
      </c>
      <c r="H13" s="3">
        <v>18513.530000000006</v>
      </c>
      <c r="J13" s="187">
        <f t="shared" si="0"/>
        <v>29112.629999999997</v>
      </c>
      <c r="K13" s="187">
        <f t="shared" si="1"/>
        <v>5822.4500000000007</v>
      </c>
      <c r="L13" s="187">
        <f t="shared" si="2"/>
        <v>23290.179999999997</v>
      </c>
      <c r="N13" s="3">
        <v>4481.4400000000005</v>
      </c>
      <c r="O13" s="3">
        <v>896.28</v>
      </c>
      <c r="P13" s="3">
        <v>3585.16</v>
      </c>
    </row>
    <row r="14" spans="1:16">
      <c r="A14" s="59" t="s">
        <v>208</v>
      </c>
      <c r="B14" s="3">
        <v>22018.74</v>
      </c>
      <c r="C14" s="3">
        <v>4403.74</v>
      </c>
      <c r="D14" s="3">
        <v>17615</v>
      </c>
      <c r="F14" s="3">
        <v>244285.05</v>
      </c>
      <c r="G14" s="3">
        <v>48856.939999999995</v>
      </c>
      <c r="H14" s="3">
        <v>195428.10999999996</v>
      </c>
      <c r="J14" s="187">
        <f t="shared" si="0"/>
        <v>266303.78999999998</v>
      </c>
      <c r="K14" s="187">
        <f t="shared" si="1"/>
        <v>53260.679999999993</v>
      </c>
      <c r="L14" s="187">
        <f t="shared" si="2"/>
        <v>213043.11</v>
      </c>
      <c r="N14" s="3">
        <v>24233.230000000003</v>
      </c>
      <c r="O14" s="3">
        <v>4846.6400000000003</v>
      </c>
      <c r="P14" s="3">
        <v>19386.59</v>
      </c>
    </row>
    <row r="15" spans="1:16">
      <c r="A15" s="59" t="s">
        <v>209</v>
      </c>
      <c r="B15" s="3">
        <v>23140.29</v>
      </c>
      <c r="C15" s="3">
        <v>4628.0499999999993</v>
      </c>
      <c r="D15" s="3">
        <v>18512.239999999998</v>
      </c>
      <c r="F15" s="3">
        <v>227099.80999999997</v>
      </c>
      <c r="G15" s="3">
        <v>45419.909999999989</v>
      </c>
      <c r="H15" s="3">
        <v>181679.9</v>
      </c>
      <c r="J15" s="187">
        <f t="shared" si="0"/>
        <v>250240.09999999998</v>
      </c>
      <c r="K15" s="187">
        <f t="shared" si="1"/>
        <v>50047.959999999992</v>
      </c>
      <c r="L15" s="187">
        <f t="shared" si="2"/>
        <v>200192.13999999998</v>
      </c>
      <c r="N15" s="3">
        <v>40770.74</v>
      </c>
      <c r="O15" s="3">
        <v>8154.14</v>
      </c>
      <c r="P15" s="3">
        <v>32616.600000000002</v>
      </c>
    </row>
    <row r="16" spans="1:16">
      <c r="A16" s="59" t="s">
        <v>210</v>
      </c>
      <c r="B16" s="3">
        <v>5382.97</v>
      </c>
      <c r="C16" s="3">
        <v>1076.5900000000001</v>
      </c>
      <c r="D16" s="3">
        <v>4306.38</v>
      </c>
      <c r="F16" s="3">
        <v>55077.590000000011</v>
      </c>
      <c r="G16" s="3">
        <v>11015.449999999999</v>
      </c>
      <c r="H16" s="3">
        <v>44062.139999999992</v>
      </c>
      <c r="J16" s="187">
        <f t="shared" si="0"/>
        <v>60460.560000000012</v>
      </c>
      <c r="K16" s="187">
        <f t="shared" si="1"/>
        <v>12092.039999999999</v>
      </c>
      <c r="L16" s="187">
        <f t="shared" si="2"/>
        <v>48368.520000000011</v>
      </c>
      <c r="N16" s="3">
        <v>10266.66</v>
      </c>
      <c r="O16" s="3">
        <v>2053.33</v>
      </c>
      <c r="P16" s="3">
        <v>8213.33</v>
      </c>
    </row>
    <row r="17" spans="1:16">
      <c r="A17" s="59" t="s">
        <v>211</v>
      </c>
      <c r="B17" s="3">
        <v>48791.91</v>
      </c>
      <c r="C17" s="3">
        <v>9758.369999999999</v>
      </c>
      <c r="D17" s="3">
        <v>39033.54</v>
      </c>
      <c r="F17" s="3">
        <v>235534.03999999998</v>
      </c>
      <c r="G17" s="3">
        <v>47106.729999999996</v>
      </c>
      <c r="H17" s="3">
        <v>188427.31</v>
      </c>
      <c r="J17" s="187">
        <f t="shared" si="0"/>
        <v>284325.94999999995</v>
      </c>
      <c r="K17" s="187">
        <f t="shared" si="1"/>
        <v>56865.099999999991</v>
      </c>
      <c r="L17" s="187">
        <f t="shared" si="2"/>
        <v>227460.84999999998</v>
      </c>
      <c r="N17" s="3">
        <v>19715.78</v>
      </c>
      <c r="O17" s="3">
        <v>3943.1499999999996</v>
      </c>
      <c r="P17" s="3">
        <v>15772.63</v>
      </c>
    </row>
    <row r="18" spans="1:16">
      <c r="A18" s="59" t="s">
        <v>212</v>
      </c>
      <c r="B18" s="3">
        <v>3757.38</v>
      </c>
      <c r="C18" s="3">
        <v>751.47</v>
      </c>
      <c r="D18" s="3">
        <v>3005.91</v>
      </c>
      <c r="F18" s="3">
        <v>41524.579999999994</v>
      </c>
      <c r="G18" s="3">
        <v>8304.8499999999985</v>
      </c>
      <c r="H18" s="3">
        <v>33219.730000000003</v>
      </c>
      <c r="J18" s="187">
        <f t="shared" si="0"/>
        <v>45281.959999999992</v>
      </c>
      <c r="K18" s="187">
        <f t="shared" si="1"/>
        <v>9056.3199999999979</v>
      </c>
      <c r="L18" s="187">
        <f t="shared" si="2"/>
        <v>36225.639999999992</v>
      </c>
      <c r="N18" s="3">
        <v>3333.92</v>
      </c>
      <c r="O18" s="3">
        <v>666.78</v>
      </c>
      <c r="P18" s="3">
        <v>2667.14</v>
      </c>
    </row>
    <row r="19" spans="1:16">
      <c r="A19" s="59" t="s">
        <v>85</v>
      </c>
      <c r="B19" s="3">
        <v>223784.51</v>
      </c>
      <c r="C19" s="3">
        <v>44756.89</v>
      </c>
      <c r="D19" s="3">
        <v>179027.62</v>
      </c>
      <c r="F19" s="3">
        <v>1059824.5900000001</v>
      </c>
      <c r="G19" s="3">
        <v>211964.83000000002</v>
      </c>
      <c r="H19" s="3">
        <v>847859.76000000024</v>
      </c>
      <c r="J19" s="187">
        <f t="shared" si="0"/>
        <v>1283609.1000000001</v>
      </c>
      <c r="K19" s="187">
        <f t="shared" si="1"/>
        <v>256721.72000000003</v>
      </c>
      <c r="L19" s="187">
        <f t="shared" si="2"/>
        <v>1026887.3800000001</v>
      </c>
      <c r="N19" s="3">
        <v>190359.53</v>
      </c>
      <c r="O19" s="3">
        <v>38071.9</v>
      </c>
      <c r="P19" s="3">
        <v>152287.63</v>
      </c>
    </row>
    <row r="20" spans="1:16">
      <c r="A20" s="59" t="s">
        <v>213</v>
      </c>
      <c r="B20" s="3">
        <v>626628.07999999996</v>
      </c>
      <c r="C20" s="3">
        <v>125325.61</v>
      </c>
      <c r="D20" s="3">
        <v>501302.47000000003</v>
      </c>
      <c r="F20" s="3">
        <v>3052432.3600000003</v>
      </c>
      <c r="G20" s="3">
        <v>610486.39</v>
      </c>
      <c r="H20" s="3">
        <v>2441945.9699999997</v>
      </c>
      <c r="J20" s="187">
        <f t="shared" si="0"/>
        <v>3679060.4400000004</v>
      </c>
      <c r="K20" s="187">
        <f t="shared" si="1"/>
        <v>735812</v>
      </c>
      <c r="L20" s="187">
        <f t="shared" si="2"/>
        <v>2943248.4400000004</v>
      </c>
      <c r="N20" s="3">
        <v>870397.32000000007</v>
      </c>
      <c r="O20" s="3">
        <v>174079.45</v>
      </c>
      <c r="P20" s="3">
        <v>696317.87</v>
      </c>
    </row>
    <row r="21" spans="1:16">
      <c r="A21" s="59" t="s">
        <v>86</v>
      </c>
      <c r="B21" s="3">
        <v>77726.19</v>
      </c>
      <c r="C21" s="3">
        <v>15545.23</v>
      </c>
      <c r="D21" s="3">
        <v>62180.959999999999</v>
      </c>
      <c r="F21" s="3">
        <v>273028.62</v>
      </c>
      <c r="G21" s="3">
        <v>54605.649999999994</v>
      </c>
      <c r="H21" s="3">
        <v>218422.96999999997</v>
      </c>
      <c r="J21" s="187">
        <f t="shared" si="0"/>
        <v>350754.81</v>
      </c>
      <c r="K21" s="187">
        <f t="shared" si="1"/>
        <v>70150.87999999999</v>
      </c>
      <c r="L21" s="187">
        <f t="shared" si="2"/>
        <v>280603.93</v>
      </c>
      <c r="N21" s="3">
        <v>43121.47</v>
      </c>
      <c r="O21" s="3">
        <v>8624.2799999999988</v>
      </c>
      <c r="P21" s="3">
        <v>34497.19</v>
      </c>
    </row>
    <row r="22" spans="1:16">
      <c r="A22" s="59" t="s">
        <v>214</v>
      </c>
      <c r="B22" s="3">
        <v>125379.97</v>
      </c>
      <c r="C22" s="3">
        <v>25075.98</v>
      </c>
      <c r="D22" s="3">
        <v>100303.98999999999</v>
      </c>
      <c r="F22" s="3">
        <v>610943.94999999984</v>
      </c>
      <c r="G22" s="3">
        <v>122188.73000000001</v>
      </c>
      <c r="H22" s="3">
        <v>488755.22</v>
      </c>
      <c r="J22" s="187">
        <f t="shared" si="0"/>
        <v>736323.91999999981</v>
      </c>
      <c r="K22" s="187">
        <f t="shared" si="1"/>
        <v>147264.71000000002</v>
      </c>
      <c r="L22" s="187">
        <f t="shared" si="2"/>
        <v>589059.20999999973</v>
      </c>
      <c r="N22" s="3">
        <v>98910.98000000001</v>
      </c>
      <c r="O22" s="3">
        <v>19782.190000000002</v>
      </c>
      <c r="P22" s="3">
        <v>79128.790000000008</v>
      </c>
    </row>
    <row r="23" spans="1:16">
      <c r="A23" s="59" t="s">
        <v>215</v>
      </c>
      <c r="B23" s="3">
        <v>14258.439999999999</v>
      </c>
      <c r="C23" s="3">
        <v>2851.6800000000003</v>
      </c>
      <c r="D23" s="3">
        <v>11406.759999999998</v>
      </c>
      <c r="F23" s="3">
        <v>72626.16</v>
      </c>
      <c r="G23" s="3">
        <v>14525.139999999998</v>
      </c>
      <c r="H23" s="3">
        <v>58101.02</v>
      </c>
      <c r="J23" s="187">
        <f t="shared" si="0"/>
        <v>86884.6</v>
      </c>
      <c r="K23" s="187">
        <f t="shared" si="1"/>
        <v>17376.82</v>
      </c>
      <c r="L23" s="187">
        <f t="shared" si="2"/>
        <v>69507.78</v>
      </c>
      <c r="N23" s="3">
        <v>13047.869999999999</v>
      </c>
      <c r="O23" s="3">
        <v>2609.5700000000002</v>
      </c>
      <c r="P23" s="3">
        <v>10438.299999999999</v>
      </c>
    </row>
    <row r="24" spans="1:16">
      <c r="A24" s="59" t="s">
        <v>216</v>
      </c>
      <c r="B24" s="3">
        <v>11999.42</v>
      </c>
      <c r="C24" s="3">
        <v>2399.88</v>
      </c>
      <c r="D24" s="3">
        <v>9599.5400000000009</v>
      </c>
      <c r="F24" s="3">
        <v>49454.98</v>
      </c>
      <c r="G24" s="3">
        <v>9890.9500000000007</v>
      </c>
      <c r="H24" s="3">
        <v>39564.03</v>
      </c>
      <c r="J24" s="187">
        <f t="shared" si="0"/>
        <v>61454.400000000001</v>
      </c>
      <c r="K24" s="187">
        <f t="shared" si="1"/>
        <v>12290.830000000002</v>
      </c>
      <c r="L24" s="187">
        <f t="shared" si="2"/>
        <v>49163.57</v>
      </c>
      <c r="N24" s="3">
        <v>16366.59</v>
      </c>
      <c r="O24" s="3">
        <v>3273.31</v>
      </c>
      <c r="P24" s="3">
        <v>13093.28</v>
      </c>
    </row>
    <row r="25" spans="1:16">
      <c r="A25" s="59" t="s">
        <v>217</v>
      </c>
      <c r="B25" s="3">
        <v>888.93000000000006</v>
      </c>
      <c r="C25" s="3">
        <v>177.78</v>
      </c>
      <c r="D25" s="3">
        <v>711.15</v>
      </c>
      <c r="F25" s="3">
        <v>14162.4</v>
      </c>
      <c r="G25" s="3">
        <v>2832.4200000000005</v>
      </c>
      <c r="H25" s="3">
        <v>11329.980000000001</v>
      </c>
      <c r="J25" s="187">
        <f t="shared" si="0"/>
        <v>15051.33</v>
      </c>
      <c r="K25" s="187">
        <f t="shared" si="1"/>
        <v>3010.2000000000007</v>
      </c>
      <c r="L25" s="187">
        <f t="shared" si="2"/>
        <v>12041.13</v>
      </c>
      <c r="N25" s="3">
        <v>1936.6399999999999</v>
      </c>
      <c r="O25" s="3">
        <v>387.32</v>
      </c>
      <c r="P25" s="3">
        <v>1549.32</v>
      </c>
    </row>
    <row r="26" spans="1:16">
      <c r="A26" s="59" t="s">
        <v>218</v>
      </c>
      <c r="B26" s="3">
        <v>35027.68</v>
      </c>
      <c r="C26" s="3">
        <v>7005.53</v>
      </c>
      <c r="D26" s="3">
        <v>28022.15</v>
      </c>
      <c r="F26" s="3">
        <v>246029.85000000003</v>
      </c>
      <c r="G26" s="3">
        <v>49205.91</v>
      </c>
      <c r="H26" s="3">
        <v>196823.94</v>
      </c>
      <c r="J26" s="187">
        <f t="shared" si="0"/>
        <v>281057.53000000003</v>
      </c>
      <c r="K26" s="187">
        <f t="shared" si="1"/>
        <v>56211.44</v>
      </c>
      <c r="L26" s="187">
        <f t="shared" si="2"/>
        <v>224846.09000000003</v>
      </c>
      <c r="N26" s="3">
        <v>36667.599999999999</v>
      </c>
      <c r="O26" s="3">
        <v>7333.51</v>
      </c>
      <c r="P26" s="3">
        <v>29334.09</v>
      </c>
    </row>
    <row r="27" spans="1:16">
      <c r="A27" s="59" t="s">
        <v>219</v>
      </c>
      <c r="B27" s="3">
        <v>12851.25</v>
      </c>
      <c r="C27" s="3">
        <v>2570.25</v>
      </c>
      <c r="D27" s="3">
        <v>10281</v>
      </c>
      <c r="F27" s="3">
        <v>66750.47</v>
      </c>
      <c r="G27" s="3">
        <v>13350.02</v>
      </c>
      <c r="H27" s="3">
        <v>53400.45</v>
      </c>
      <c r="J27" s="187">
        <f t="shared" si="0"/>
        <v>79601.72</v>
      </c>
      <c r="K27" s="187">
        <f t="shared" si="1"/>
        <v>15920.27</v>
      </c>
      <c r="L27" s="187">
        <f t="shared" si="2"/>
        <v>63681.45</v>
      </c>
      <c r="N27" s="3">
        <v>9488.5299999999988</v>
      </c>
      <c r="O27" s="3">
        <v>1897.6999999999998</v>
      </c>
      <c r="P27" s="3">
        <v>7590.83</v>
      </c>
    </row>
    <row r="28" spans="1:16">
      <c r="A28" s="59" t="s">
        <v>220</v>
      </c>
      <c r="B28" s="3">
        <v>8161.5300000000007</v>
      </c>
      <c r="C28" s="3">
        <v>1632.29</v>
      </c>
      <c r="D28" s="3">
        <v>6529.24</v>
      </c>
      <c r="F28" s="3">
        <v>53045.869999999995</v>
      </c>
      <c r="G28" s="3">
        <v>10609.109999999999</v>
      </c>
      <c r="H28" s="3">
        <v>42436.759999999995</v>
      </c>
      <c r="J28" s="187">
        <f t="shared" si="0"/>
        <v>61207.399999999994</v>
      </c>
      <c r="K28" s="187">
        <f t="shared" si="1"/>
        <v>12241.399999999998</v>
      </c>
      <c r="L28" s="187">
        <f t="shared" si="2"/>
        <v>48966</v>
      </c>
      <c r="N28" s="3">
        <v>3732.46</v>
      </c>
      <c r="O28" s="3">
        <v>746.48</v>
      </c>
      <c r="P28" s="3">
        <v>2985.98</v>
      </c>
    </row>
    <row r="29" spans="1:16">
      <c r="A29" s="59" t="s">
        <v>221</v>
      </c>
      <c r="B29" s="3">
        <v>7146.7199999999993</v>
      </c>
      <c r="C29" s="3">
        <v>1429.3400000000001</v>
      </c>
      <c r="D29" s="3">
        <v>5717.38</v>
      </c>
      <c r="F29" s="3">
        <v>50812.179999999993</v>
      </c>
      <c r="G29" s="3">
        <v>10162.359999999997</v>
      </c>
      <c r="H29" s="3">
        <v>40649.820000000007</v>
      </c>
      <c r="J29" s="187">
        <f t="shared" si="0"/>
        <v>57958.899999999994</v>
      </c>
      <c r="K29" s="187">
        <f t="shared" si="1"/>
        <v>11591.699999999997</v>
      </c>
      <c r="L29" s="187">
        <f t="shared" si="2"/>
        <v>46367.199999999997</v>
      </c>
      <c r="N29" s="3">
        <v>9196.77</v>
      </c>
      <c r="O29" s="3">
        <v>1839.35</v>
      </c>
      <c r="P29" s="3">
        <v>7357.42</v>
      </c>
    </row>
    <row r="30" spans="1:16">
      <c r="A30" s="59" t="s">
        <v>222</v>
      </c>
      <c r="B30" s="3">
        <v>5678.1399999999994</v>
      </c>
      <c r="C30" s="3">
        <v>1135.6199999999999</v>
      </c>
      <c r="D30" s="3">
        <v>4542.5200000000004</v>
      </c>
      <c r="F30" s="3">
        <v>92169.7</v>
      </c>
      <c r="G30" s="3">
        <v>18433.879999999994</v>
      </c>
      <c r="H30" s="3">
        <v>73735.820000000007</v>
      </c>
      <c r="J30" s="187">
        <f t="shared" si="0"/>
        <v>97847.84</v>
      </c>
      <c r="K30" s="187">
        <f t="shared" si="1"/>
        <v>19569.499999999993</v>
      </c>
      <c r="L30" s="187">
        <f t="shared" si="2"/>
        <v>78278.34</v>
      </c>
      <c r="N30" s="3">
        <v>11503.189999999999</v>
      </c>
      <c r="O30" s="3">
        <v>2300.63</v>
      </c>
      <c r="P30" s="3">
        <v>9202.5600000000013</v>
      </c>
    </row>
    <row r="31" spans="1:16">
      <c r="A31" s="59" t="s">
        <v>223</v>
      </c>
      <c r="B31" s="3">
        <v>24285.23</v>
      </c>
      <c r="C31" s="3">
        <v>4857.0400000000009</v>
      </c>
      <c r="D31" s="3">
        <v>19428.190000000002</v>
      </c>
      <c r="F31" s="3">
        <v>165484.41</v>
      </c>
      <c r="G31" s="3">
        <v>33096.79</v>
      </c>
      <c r="H31" s="3">
        <v>132387.62</v>
      </c>
      <c r="J31" s="187">
        <f t="shared" si="0"/>
        <v>189769.64</v>
      </c>
      <c r="K31" s="187">
        <f t="shared" si="1"/>
        <v>37953.83</v>
      </c>
      <c r="L31" s="187">
        <f t="shared" si="2"/>
        <v>151815.81</v>
      </c>
      <c r="N31" s="3">
        <v>21156.65</v>
      </c>
      <c r="O31" s="3">
        <v>4231.32</v>
      </c>
      <c r="P31" s="3">
        <v>16925.330000000002</v>
      </c>
    </row>
    <row r="32" spans="1:16">
      <c r="A32" s="59" t="s">
        <v>224</v>
      </c>
      <c r="B32" s="3">
        <v>265201.55</v>
      </c>
      <c r="C32" s="3">
        <v>53040.31</v>
      </c>
      <c r="D32" s="3">
        <v>212161.24</v>
      </c>
      <c r="F32" s="3">
        <v>1200847.0000000002</v>
      </c>
      <c r="G32" s="3">
        <v>240169.34</v>
      </c>
      <c r="H32" s="3">
        <v>960677.66</v>
      </c>
      <c r="J32" s="187">
        <f t="shared" si="0"/>
        <v>1466048.5500000003</v>
      </c>
      <c r="K32" s="187">
        <f t="shared" si="1"/>
        <v>293209.65000000002</v>
      </c>
      <c r="L32" s="187">
        <f t="shared" si="2"/>
        <v>1172838.9000000004</v>
      </c>
      <c r="N32" s="3">
        <v>215161.64</v>
      </c>
      <c r="O32" s="3">
        <v>43032.32</v>
      </c>
      <c r="P32" s="3">
        <v>172129.32</v>
      </c>
    </row>
    <row r="33" spans="1:16">
      <c r="A33" s="59" t="s">
        <v>87</v>
      </c>
      <c r="B33" s="3">
        <v>33927.659999999996</v>
      </c>
      <c r="C33" s="3">
        <v>6785.5199999999995</v>
      </c>
      <c r="D33" s="3">
        <v>27142.14</v>
      </c>
      <c r="F33" s="3">
        <v>128294.85999999999</v>
      </c>
      <c r="G33" s="3">
        <v>25658.91</v>
      </c>
      <c r="H33" s="3">
        <v>102635.95</v>
      </c>
      <c r="J33" s="187">
        <f t="shared" si="0"/>
        <v>162222.51999999999</v>
      </c>
      <c r="K33" s="187">
        <f t="shared" si="1"/>
        <v>32444.43</v>
      </c>
      <c r="L33" s="187">
        <f t="shared" si="2"/>
        <v>129778.09</v>
      </c>
      <c r="N33" s="3">
        <v>30149.829999999998</v>
      </c>
      <c r="O33" s="3">
        <v>6029.96</v>
      </c>
      <c r="P33" s="3">
        <v>24119.87</v>
      </c>
    </row>
    <row r="34" spans="1:16">
      <c r="A34" s="59" t="s">
        <v>225</v>
      </c>
      <c r="B34" s="3">
        <v>8324.5499999999993</v>
      </c>
      <c r="C34" s="3">
        <v>1664.9099999999999</v>
      </c>
      <c r="D34" s="3">
        <v>6659.6399999999994</v>
      </c>
      <c r="F34" s="3">
        <v>100391.10999999997</v>
      </c>
      <c r="G34" s="3">
        <v>20078.189999999999</v>
      </c>
      <c r="H34" s="3">
        <v>80312.92</v>
      </c>
      <c r="J34" s="187">
        <f t="shared" si="0"/>
        <v>108715.65999999997</v>
      </c>
      <c r="K34" s="187">
        <f t="shared" si="1"/>
        <v>21743.1</v>
      </c>
      <c r="L34" s="187">
        <f t="shared" si="2"/>
        <v>86972.559999999969</v>
      </c>
      <c r="N34" s="3">
        <v>4436.6900000000005</v>
      </c>
      <c r="O34" s="3">
        <v>887.32999999999993</v>
      </c>
      <c r="P34" s="3">
        <v>3549.3599999999997</v>
      </c>
    </row>
    <row r="35" spans="1:16">
      <c r="A35" s="59" t="s">
        <v>226</v>
      </c>
      <c r="B35" s="3">
        <v>6796.5</v>
      </c>
      <c r="C35" s="3">
        <v>1359.29</v>
      </c>
      <c r="D35" s="3">
        <v>5437.21</v>
      </c>
      <c r="F35" s="3">
        <v>25035.679999999997</v>
      </c>
      <c r="G35" s="3">
        <v>5007.05</v>
      </c>
      <c r="H35" s="3">
        <v>20028.629999999997</v>
      </c>
      <c r="J35" s="187">
        <f t="shared" si="0"/>
        <v>31832.179999999997</v>
      </c>
      <c r="K35" s="187">
        <f t="shared" si="1"/>
        <v>6366.34</v>
      </c>
      <c r="L35" s="187">
        <f t="shared" si="2"/>
        <v>25465.839999999997</v>
      </c>
      <c r="N35" s="3">
        <v>2934.28</v>
      </c>
      <c r="O35" s="3">
        <v>586.85</v>
      </c>
      <c r="P35" s="3">
        <v>2347.4299999999998</v>
      </c>
    </row>
    <row r="36" spans="1:16">
      <c r="A36" s="59" t="s">
        <v>227</v>
      </c>
      <c r="B36" s="3">
        <v>11679.95</v>
      </c>
      <c r="C36" s="3">
        <v>2335.98</v>
      </c>
      <c r="D36" s="3">
        <v>9343.9700000000012</v>
      </c>
      <c r="F36" s="3">
        <v>302765.7</v>
      </c>
      <c r="G36" s="3">
        <v>60553.05000000001</v>
      </c>
      <c r="H36" s="3">
        <v>242212.65</v>
      </c>
      <c r="J36" s="187">
        <f t="shared" ref="J36:J67" si="3">B36+F36</f>
        <v>314445.65000000002</v>
      </c>
      <c r="K36" s="187">
        <f t="shared" ref="K36:K67" si="4">C36+G36</f>
        <v>62889.030000000013</v>
      </c>
      <c r="L36" s="187">
        <f t="shared" si="2"/>
        <v>251556.62</v>
      </c>
      <c r="N36" s="3">
        <v>8216.619999999999</v>
      </c>
      <c r="O36" s="3">
        <v>1643.3200000000002</v>
      </c>
      <c r="P36" s="3">
        <v>6573.3</v>
      </c>
    </row>
    <row r="37" spans="1:16">
      <c r="A37" s="59" t="s">
        <v>228</v>
      </c>
      <c r="B37" s="3">
        <v>10668.08</v>
      </c>
      <c r="C37" s="3">
        <v>2133.61</v>
      </c>
      <c r="D37" s="3">
        <v>8534.4700000000012</v>
      </c>
      <c r="F37" s="3">
        <v>71795.710000000006</v>
      </c>
      <c r="G37" s="3">
        <v>14359.05</v>
      </c>
      <c r="H37" s="3">
        <v>57436.659999999996</v>
      </c>
      <c r="J37" s="187">
        <f t="shared" si="3"/>
        <v>82463.790000000008</v>
      </c>
      <c r="K37" s="187">
        <f t="shared" si="4"/>
        <v>16492.66</v>
      </c>
      <c r="L37" s="187">
        <f t="shared" si="2"/>
        <v>65971.13</v>
      </c>
      <c r="N37" s="3">
        <v>8391.84</v>
      </c>
      <c r="O37" s="3">
        <v>1678.3600000000001</v>
      </c>
      <c r="P37" s="3">
        <v>6713.48</v>
      </c>
    </row>
    <row r="38" spans="1:16">
      <c r="A38" s="59" t="s">
        <v>229</v>
      </c>
      <c r="B38" s="3">
        <v>6322.96</v>
      </c>
      <c r="C38" s="3">
        <v>1264.5900000000001</v>
      </c>
      <c r="D38" s="3">
        <v>5058.37</v>
      </c>
      <c r="F38" s="3">
        <v>39327.200000000012</v>
      </c>
      <c r="G38" s="3">
        <v>7865.369999999999</v>
      </c>
      <c r="H38" s="3">
        <v>31461.829999999994</v>
      </c>
      <c r="J38" s="187">
        <f t="shared" si="3"/>
        <v>45650.160000000011</v>
      </c>
      <c r="K38" s="187">
        <f t="shared" si="4"/>
        <v>9129.9599999999991</v>
      </c>
      <c r="L38" s="187">
        <f t="shared" si="2"/>
        <v>36520.200000000012</v>
      </c>
      <c r="N38" s="3">
        <v>5714.45</v>
      </c>
      <c r="O38" s="3">
        <v>1142.8799999999999</v>
      </c>
      <c r="P38" s="3">
        <v>4571.57</v>
      </c>
    </row>
    <row r="39" spans="1:16">
      <c r="A39" s="59" t="s">
        <v>230</v>
      </c>
      <c r="B39" s="3">
        <v>30522.959999999999</v>
      </c>
      <c r="C39" s="3">
        <v>6104.59</v>
      </c>
      <c r="D39" s="3">
        <v>24418.37</v>
      </c>
      <c r="F39" s="3">
        <v>157718.97999999998</v>
      </c>
      <c r="G39" s="3">
        <v>31543.73</v>
      </c>
      <c r="H39" s="3">
        <v>126175.25000000001</v>
      </c>
      <c r="J39" s="187">
        <f t="shared" si="3"/>
        <v>188241.93999999997</v>
      </c>
      <c r="K39" s="187">
        <f t="shared" si="4"/>
        <v>37648.32</v>
      </c>
      <c r="L39" s="187">
        <f t="shared" si="2"/>
        <v>150593.61999999997</v>
      </c>
      <c r="N39" s="3">
        <v>24176.93</v>
      </c>
      <c r="O39" s="3">
        <v>4835.38</v>
      </c>
      <c r="P39" s="3">
        <v>19341.55</v>
      </c>
    </row>
    <row r="40" spans="1:16">
      <c r="A40" s="59" t="s">
        <v>231</v>
      </c>
      <c r="B40" s="3">
        <v>7408.98</v>
      </c>
      <c r="C40" s="3">
        <v>1481.79</v>
      </c>
      <c r="D40" s="3">
        <v>5927.1900000000005</v>
      </c>
      <c r="F40" s="3">
        <v>49570.35</v>
      </c>
      <c r="G40" s="3">
        <v>9913.9900000000016</v>
      </c>
      <c r="H40" s="3">
        <v>39656.36</v>
      </c>
      <c r="J40" s="187">
        <f t="shared" si="3"/>
        <v>56979.33</v>
      </c>
      <c r="K40" s="187">
        <f t="shared" si="4"/>
        <v>11395.780000000002</v>
      </c>
      <c r="L40" s="187">
        <f t="shared" si="2"/>
        <v>45583.55</v>
      </c>
      <c r="N40" s="3">
        <v>5787.4800000000005</v>
      </c>
      <c r="O40" s="3">
        <v>1157.49</v>
      </c>
      <c r="P40" s="3">
        <v>4629.99</v>
      </c>
    </row>
    <row r="41" spans="1:16">
      <c r="A41" s="59" t="s">
        <v>232</v>
      </c>
      <c r="B41" s="3">
        <v>9877</v>
      </c>
      <c r="C41" s="3">
        <v>1975.3899999999999</v>
      </c>
      <c r="D41" s="3">
        <v>7901.6100000000006</v>
      </c>
      <c r="F41" s="3">
        <v>95557.939999999973</v>
      </c>
      <c r="G41" s="3">
        <v>19111.510000000002</v>
      </c>
      <c r="H41" s="3">
        <v>76446.429999999993</v>
      </c>
      <c r="J41" s="187">
        <f t="shared" si="3"/>
        <v>105434.93999999997</v>
      </c>
      <c r="K41" s="187">
        <f t="shared" si="4"/>
        <v>21086.9</v>
      </c>
      <c r="L41" s="187">
        <f t="shared" si="2"/>
        <v>84348.039999999979</v>
      </c>
      <c r="N41" s="3">
        <v>15663.89</v>
      </c>
      <c r="O41" s="3">
        <v>3132.77</v>
      </c>
      <c r="P41" s="3">
        <v>12531.119999999999</v>
      </c>
    </row>
    <row r="42" spans="1:16">
      <c r="A42" s="59" t="s">
        <v>233</v>
      </c>
      <c r="B42" s="3">
        <v>9500.14</v>
      </c>
      <c r="C42" s="3">
        <v>1900.02</v>
      </c>
      <c r="D42" s="3">
        <v>7600.12</v>
      </c>
      <c r="F42" s="3">
        <v>110957.79</v>
      </c>
      <c r="G42" s="3">
        <v>22191.48</v>
      </c>
      <c r="H42" s="3">
        <v>88766.31</v>
      </c>
      <c r="J42" s="187">
        <f t="shared" si="3"/>
        <v>120457.93</v>
      </c>
      <c r="K42" s="187">
        <f t="shared" si="4"/>
        <v>24091.5</v>
      </c>
      <c r="L42" s="187">
        <f t="shared" si="2"/>
        <v>96366.43</v>
      </c>
      <c r="N42" s="3">
        <v>30174.86</v>
      </c>
      <c r="O42" s="3">
        <v>6034.97</v>
      </c>
      <c r="P42" s="3">
        <v>24139.89</v>
      </c>
    </row>
    <row r="43" spans="1:16">
      <c r="A43" s="59" t="s">
        <v>234</v>
      </c>
      <c r="B43" s="3">
        <v>2974.16</v>
      </c>
      <c r="C43" s="3">
        <v>594.83000000000004</v>
      </c>
      <c r="D43" s="3">
        <v>2379.33</v>
      </c>
      <c r="F43" s="3">
        <v>27103.320000000007</v>
      </c>
      <c r="G43" s="3">
        <v>5420.5999999999985</v>
      </c>
      <c r="H43" s="3">
        <v>21682.720000000001</v>
      </c>
      <c r="J43" s="187">
        <f t="shared" si="3"/>
        <v>30077.480000000007</v>
      </c>
      <c r="K43" s="187">
        <f t="shared" si="4"/>
        <v>6015.4299999999985</v>
      </c>
      <c r="L43" s="187">
        <f t="shared" si="2"/>
        <v>24062.05000000001</v>
      </c>
      <c r="N43" s="3">
        <v>5986.55</v>
      </c>
      <c r="O43" s="3">
        <v>1197.3</v>
      </c>
      <c r="P43" s="3">
        <v>4789.25</v>
      </c>
    </row>
    <row r="44" spans="1:16">
      <c r="A44" s="59" t="s">
        <v>235</v>
      </c>
      <c r="B44" s="3">
        <v>20854.16</v>
      </c>
      <c r="C44" s="3">
        <v>4170.82</v>
      </c>
      <c r="D44" s="3">
        <v>16683.34</v>
      </c>
      <c r="F44" s="3">
        <v>75373.040000000008</v>
      </c>
      <c r="G44" s="3">
        <v>15074.529999999999</v>
      </c>
      <c r="H44" s="3">
        <v>60298.509999999995</v>
      </c>
      <c r="J44" s="187">
        <f t="shared" si="3"/>
        <v>96227.200000000012</v>
      </c>
      <c r="K44" s="187">
        <f t="shared" si="4"/>
        <v>19245.349999999999</v>
      </c>
      <c r="L44" s="187">
        <f t="shared" si="2"/>
        <v>76981.850000000006</v>
      </c>
      <c r="N44" s="3">
        <v>22585.27</v>
      </c>
      <c r="O44" s="3">
        <v>4517.04</v>
      </c>
      <c r="P44" s="3">
        <v>18068.23</v>
      </c>
    </row>
    <row r="45" spans="1:16">
      <c r="A45" s="59" t="s">
        <v>88</v>
      </c>
      <c r="B45" s="3">
        <v>4407.96</v>
      </c>
      <c r="C45" s="3">
        <v>881.59</v>
      </c>
      <c r="D45" s="3">
        <v>3526.3700000000003</v>
      </c>
      <c r="F45" s="3">
        <v>71297.84</v>
      </c>
      <c r="G45" s="3">
        <v>14259.499999999998</v>
      </c>
      <c r="H45" s="3">
        <v>57038.340000000004</v>
      </c>
      <c r="J45" s="187">
        <f t="shared" si="3"/>
        <v>75705.8</v>
      </c>
      <c r="K45" s="187">
        <f t="shared" si="4"/>
        <v>15141.089999999998</v>
      </c>
      <c r="L45" s="187">
        <f t="shared" si="2"/>
        <v>60564.710000000006</v>
      </c>
      <c r="N45" s="3">
        <v>14806.829999999998</v>
      </c>
      <c r="O45" s="3">
        <v>2961.36</v>
      </c>
      <c r="P45" s="3">
        <v>11845.470000000001</v>
      </c>
    </row>
    <row r="46" spans="1:16">
      <c r="A46" s="59" t="s">
        <v>236</v>
      </c>
      <c r="B46" s="3">
        <v>133928.99</v>
      </c>
      <c r="C46" s="3">
        <v>26785.79</v>
      </c>
      <c r="D46" s="3">
        <v>107143.20000000001</v>
      </c>
      <c r="F46" s="3">
        <v>907888.78000000014</v>
      </c>
      <c r="G46" s="3">
        <v>181577.69</v>
      </c>
      <c r="H46" s="3">
        <v>726311.08999999985</v>
      </c>
      <c r="J46" s="187">
        <f t="shared" si="3"/>
        <v>1041817.7700000001</v>
      </c>
      <c r="K46" s="187">
        <f t="shared" si="4"/>
        <v>208363.48</v>
      </c>
      <c r="L46" s="187">
        <f t="shared" si="2"/>
        <v>833454.29000000015</v>
      </c>
      <c r="N46" s="3">
        <v>157928.31</v>
      </c>
      <c r="O46" s="3">
        <v>31585.66</v>
      </c>
      <c r="P46" s="3">
        <v>126342.65</v>
      </c>
    </row>
    <row r="47" spans="1:16">
      <c r="A47" s="59" t="s">
        <v>237</v>
      </c>
      <c r="B47" s="3">
        <v>8510.0400000000009</v>
      </c>
      <c r="C47" s="3">
        <v>1702</v>
      </c>
      <c r="D47" s="3">
        <v>6808.04</v>
      </c>
      <c r="F47" s="3">
        <v>50600.05</v>
      </c>
      <c r="G47" s="3">
        <v>10119.94</v>
      </c>
      <c r="H47" s="3">
        <v>40480.11</v>
      </c>
      <c r="J47" s="187">
        <f t="shared" si="3"/>
        <v>59110.090000000004</v>
      </c>
      <c r="K47" s="187">
        <f t="shared" si="4"/>
        <v>11821.94</v>
      </c>
      <c r="L47" s="187">
        <f t="shared" si="2"/>
        <v>47288.15</v>
      </c>
      <c r="N47" s="3">
        <v>6868.26</v>
      </c>
      <c r="O47" s="3">
        <v>1373.65</v>
      </c>
      <c r="P47" s="3">
        <v>5494.6100000000006</v>
      </c>
    </row>
    <row r="48" spans="1:16">
      <c r="A48" s="59" t="s">
        <v>238</v>
      </c>
      <c r="B48" s="3">
        <v>45114.479999999996</v>
      </c>
      <c r="C48" s="3">
        <v>9022.89</v>
      </c>
      <c r="D48" s="3">
        <v>36091.589999999997</v>
      </c>
      <c r="F48" s="3">
        <v>211705.09</v>
      </c>
      <c r="G48" s="3">
        <v>42340.939999999995</v>
      </c>
      <c r="H48" s="3">
        <v>169364.14999999997</v>
      </c>
      <c r="J48" s="187">
        <f t="shared" si="3"/>
        <v>256819.57</v>
      </c>
      <c r="K48" s="187">
        <f t="shared" si="4"/>
        <v>51363.829999999994</v>
      </c>
      <c r="L48" s="187">
        <f t="shared" si="2"/>
        <v>205455.74000000002</v>
      </c>
      <c r="N48" s="3">
        <v>27233.11</v>
      </c>
      <c r="O48" s="3">
        <v>5446.61</v>
      </c>
      <c r="P48" s="3">
        <v>21786.5</v>
      </c>
    </row>
    <row r="49" spans="1:16">
      <c r="A49" s="59" t="s">
        <v>89</v>
      </c>
      <c r="B49" s="3">
        <v>11288.72</v>
      </c>
      <c r="C49" s="3">
        <v>2257.7399999999998</v>
      </c>
      <c r="D49" s="3">
        <v>9030.98</v>
      </c>
      <c r="F49" s="3">
        <v>119225.57</v>
      </c>
      <c r="G49" s="3">
        <v>23845.05</v>
      </c>
      <c r="H49" s="3">
        <v>95380.52</v>
      </c>
      <c r="J49" s="187">
        <f t="shared" si="3"/>
        <v>130514.29000000001</v>
      </c>
      <c r="K49" s="187">
        <f t="shared" si="4"/>
        <v>26102.79</v>
      </c>
      <c r="L49" s="187">
        <f t="shared" si="2"/>
        <v>104411.5</v>
      </c>
      <c r="N49" s="3">
        <v>13691.94</v>
      </c>
      <c r="O49" s="3">
        <v>2738.38</v>
      </c>
      <c r="P49" s="3">
        <v>10953.56</v>
      </c>
    </row>
    <row r="50" spans="1:16">
      <c r="A50" s="59" t="s">
        <v>90</v>
      </c>
      <c r="B50" s="3">
        <v>19250.900000000001</v>
      </c>
      <c r="C50" s="3">
        <v>3850.17</v>
      </c>
      <c r="D50" s="3">
        <v>15400.73</v>
      </c>
      <c r="F50" s="3">
        <v>110945.36000000002</v>
      </c>
      <c r="G50" s="3">
        <v>22189.01</v>
      </c>
      <c r="H50" s="3">
        <v>88756.35</v>
      </c>
      <c r="J50" s="187">
        <f t="shared" si="3"/>
        <v>130196.26000000001</v>
      </c>
      <c r="K50" s="187">
        <f t="shared" si="4"/>
        <v>26039.18</v>
      </c>
      <c r="L50" s="187">
        <f t="shared" si="2"/>
        <v>104157.08000000002</v>
      </c>
      <c r="N50" s="3">
        <v>21961.78</v>
      </c>
      <c r="O50" s="3">
        <v>4392.3500000000004</v>
      </c>
      <c r="P50" s="3">
        <v>17569.43</v>
      </c>
    </row>
    <row r="51" spans="1:16">
      <c r="A51" s="59" t="s">
        <v>239</v>
      </c>
      <c r="B51" s="3">
        <v>15905.74</v>
      </c>
      <c r="C51" s="3">
        <v>3181.14</v>
      </c>
      <c r="D51" s="3">
        <v>12724.6</v>
      </c>
      <c r="F51" s="3">
        <v>98262.63</v>
      </c>
      <c r="G51" s="3">
        <v>19652.46</v>
      </c>
      <c r="H51" s="3">
        <v>78610.169999999984</v>
      </c>
      <c r="J51" s="187">
        <f t="shared" si="3"/>
        <v>114168.37000000001</v>
      </c>
      <c r="K51" s="187">
        <f t="shared" si="4"/>
        <v>22833.599999999999</v>
      </c>
      <c r="L51" s="187">
        <f t="shared" si="2"/>
        <v>91334.770000000019</v>
      </c>
      <c r="N51" s="3">
        <v>11052.85</v>
      </c>
      <c r="O51" s="3">
        <v>2210.56</v>
      </c>
      <c r="P51" s="3">
        <v>8842.2900000000009</v>
      </c>
    </row>
    <row r="52" spans="1:16">
      <c r="A52" s="59" t="s">
        <v>240</v>
      </c>
      <c r="B52" s="3">
        <v>16289.349999999999</v>
      </c>
      <c r="C52" s="3">
        <v>3257.8599999999997</v>
      </c>
      <c r="D52" s="3">
        <v>13031.49</v>
      </c>
      <c r="F52" s="3">
        <v>84367.27</v>
      </c>
      <c r="G52" s="3">
        <v>16873.39</v>
      </c>
      <c r="H52" s="3">
        <v>67493.87999999999</v>
      </c>
      <c r="J52" s="187">
        <f t="shared" si="3"/>
        <v>100656.62</v>
      </c>
      <c r="K52" s="187">
        <f t="shared" si="4"/>
        <v>20131.25</v>
      </c>
      <c r="L52" s="187">
        <f t="shared" si="2"/>
        <v>80525.37</v>
      </c>
      <c r="N52" s="3">
        <v>10387.470000000001</v>
      </c>
      <c r="O52" s="3">
        <v>2077.4899999999998</v>
      </c>
      <c r="P52" s="3">
        <v>8309.98</v>
      </c>
    </row>
    <row r="53" spans="1:16">
      <c r="A53" s="59" t="s">
        <v>241</v>
      </c>
      <c r="B53" s="3">
        <v>2480.0100000000002</v>
      </c>
      <c r="C53" s="3">
        <v>495.99</v>
      </c>
      <c r="D53" s="3">
        <v>1984.02</v>
      </c>
      <c r="F53" s="3">
        <v>22773.030000000002</v>
      </c>
      <c r="G53" s="3">
        <v>4554.53</v>
      </c>
      <c r="H53" s="3">
        <v>18218.5</v>
      </c>
      <c r="J53" s="187">
        <f t="shared" si="3"/>
        <v>25253.040000000001</v>
      </c>
      <c r="K53" s="187">
        <f t="shared" si="4"/>
        <v>5050.5199999999995</v>
      </c>
      <c r="L53" s="187">
        <f t="shared" si="2"/>
        <v>20202.52</v>
      </c>
      <c r="N53" s="3">
        <v>5377.0599999999995</v>
      </c>
      <c r="O53" s="3">
        <v>1075.4100000000001</v>
      </c>
      <c r="P53" s="3">
        <v>4301.6499999999996</v>
      </c>
    </row>
    <row r="54" spans="1:16">
      <c r="A54" s="59" t="s">
        <v>242</v>
      </c>
      <c r="B54" s="3">
        <v>10360.580000000002</v>
      </c>
      <c r="C54" s="3">
        <v>2072.11</v>
      </c>
      <c r="D54" s="3">
        <v>8288.4699999999993</v>
      </c>
      <c r="F54" s="3">
        <v>45619.329999999994</v>
      </c>
      <c r="G54" s="3">
        <v>9123.81</v>
      </c>
      <c r="H54" s="3">
        <v>36495.519999999997</v>
      </c>
      <c r="J54" s="187">
        <f t="shared" si="3"/>
        <v>55979.909999999996</v>
      </c>
      <c r="K54" s="187">
        <f t="shared" si="4"/>
        <v>11195.92</v>
      </c>
      <c r="L54" s="187">
        <f t="shared" si="2"/>
        <v>44783.99</v>
      </c>
      <c r="N54" s="3">
        <v>10201.689999999999</v>
      </c>
      <c r="O54" s="3">
        <v>2040.33</v>
      </c>
      <c r="P54" s="3">
        <v>8161.36</v>
      </c>
    </row>
    <row r="55" spans="1:16">
      <c r="A55" s="59" t="s">
        <v>243</v>
      </c>
      <c r="B55" s="3">
        <v>11947.82</v>
      </c>
      <c r="C55" s="3">
        <v>2389.56</v>
      </c>
      <c r="D55" s="3">
        <v>9558.26</v>
      </c>
      <c r="F55" s="3">
        <v>41018.86</v>
      </c>
      <c r="G55" s="3">
        <v>8203.7099999999991</v>
      </c>
      <c r="H55" s="3">
        <v>32815.15</v>
      </c>
      <c r="J55" s="187">
        <f t="shared" si="3"/>
        <v>52966.68</v>
      </c>
      <c r="K55" s="187">
        <f t="shared" si="4"/>
        <v>10593.269999999999</v>
      </c>
      <c r="L55" s="187">
        <f t="shared" si="2"/>
        <v>42373.41</v>
      </c>
      <c r="N55" s="3">
        <v>3596.6099999999997</v>
      </c>
      <c r="O55" s="3">
        <v>719.31</v>
      </c>
      <c r="P55" s="3">
        <v>2877.3</v>
      </c>
    </row>
    <row r="56" spans="1:16">
      <c r="A56" s="59" t="s">
        <v>244</v>
      </c>
      <c r="B56" s="3">
        <v>24754.52</v>
      </c>
      <c r="C56" s="3">
        <v>4950.8999999999996</v>
      </c>
      <c r="D56" s="3">
        <v>19803.62</v>
      </c>
      <c r="F56" s="3">
        <v>201497.27</v>
      </c>
      <c r="G56" s="3">
        <v>40299.360000000015</v>
      </c>
      <c r="H56" s="3">
        <v>161197.91</v>
      </c>
      <c r="J56" s="187">
        <f t="shared" si="3"/>
        <v>226251.78999999998</v>
      </c>
      <c r="K56" s="187">
        <f t="shared" si="4"/>
        <v>45250.260000000017</v>
      </c>
      <c r="L56" s="187">
        <f t="shared" si="2"/>
        <v>181001.52999999997</v>
      </c>
      <c r="N56" s="3">
        <v>34945.879999999997</v>
      </c>
      <c r="O56" s="3">
        <v>6989.17</v>
      </c>
      <c r="P56" s="3">
        <v>27956.71</v>
      </c>
    </row>
    <row r="57" spans="1:16">
      <c r="A57" s="59" t="s">
        <v>245</v>
      </c>
      <c r="B57" s="3">
        <v>12916.33</v>
      </c>
      <c r="C57" s="3">
        <v>2583.2599999999998</v>
      </c>
      <c r="D57" s="3">
        <v>10333.07</v>
      </c>
      <c r="F57" s="3">
        <v>57284.14999999998</v>
      </c>
      <c r="G57" s="3">
        <v>11456.75</v>
      </c>
      <c r="H57" s="3">
        <v>45827.4</v>
      </c>
      <c r="J57" s="187">
        <f t="shared" si="3"/>
        <v>70200.479999999981</v>
      </c>
      <c r="K57" s="187">
        <f t="shared" si="4"/>
        <v>14040.01</v>
      </c>
      <c r="L57" s="187">
        <f t="shared" si="2"/>
        <v>56160.469999999979</v>
      </c>
      <c r="N57" s="3">
        <v>12312.49</v>
      </c>
      <c r="O57" s="3">
        <v>2462.4899999999998</v>
      </c>
      <c r="P57" s="3">
        <v>9850</v>
      </c>
    </row>
    <row r="58" spans="1:16">
      <c r="A58" s="59" t="s">
        <v>246</v>
      </c>
      <c r="B58" s="3">
        <v>9696.2000000000007</v>
      </c>
      <c r="C58" s="3">
        <v>1939.23</v>
      </c>
      <c r="D58" s="3">
        <v>7756.97</v>
      </c>
      <c r="F58" s="3">
        <v>75287.62999999999</v>
      </c>
      <c r="G58" s="3">
        <v>15057.459999999997</v>
      </c>
      <c r="H58" s="3">
        <v>60230.17</v>
      </c>
      <c r="J58" s="187">
        <f t="shared" si="3"/>
        <v>84983.829999999987</v>
      </c>
      <c r="K58" s="187">
        <f t="shared" si="4"/>
        <v>16996.689999999999</v>
      </c>
      <c r="L58" s="187">
        <f t="shared" si="2"/>
        <v>67987.139999999985</v>
      </c>
      <c r="N58" s="3">
        <v>10744.14</v>
      </c>
      <c r="O58" s="3">
        <v>2148.8199999999997</v>
      </c>
      <c r="P58" s="3">
        <v>8595.32</v>
      </c>
    </row>
    <row r="59" spans="1:16">
      <c r="A59" s="59" t="s">
        <v>247</v>
      </c>
      <c r="B59" s="3">
        <v>19714.62</v>
      </c>
      <c r="C59" s="3">
        <v>3942.92</v>
      </c>
      <c r="D59" s="3">
        <v>15771.699999999999</v>
      </c>
      <c r="F59" s="3">
        <v>67529.67</v>
      </c>
      <c r="G59" s="3">
        <v>13505.870000000003</v>
      </c>
      <c r="H59" s="3">
        <v>54023.8</v>
      </c>
      <c r="J59" s="187">
        <f t="shared" si="3"/>
        <v>87244.29</v>
      </c>
      <c r="K59" s="187">
        <f t="shared" si="4"/>
        <v>17448.79</v>
      </c>
      <c r="L59" s="187">
        <f t="shared" si="2"/>
        <v>69795.5</v>
      </c>
      <c r="N59" s="3">
        <v>14068.16</v>
      </c>
      <c r="O59" s="3">
        <v>2813.62</v>
      </c>
      <c r="P59" s="3">
        <v>11254.54</v>
      </c>
    </row>
    <row r="60" spans="1:16">
      <c r="A60" s="59" t="s">
        <v>248</v>
      </c>
      <c r="B60" s="3">
        <v>33094.639999999999</v>
      </c>
      <c r="C60" s="3">
        <v>6618.92</v>
      </c>
      <c r="D60" s="3">
        <v>26475.72</v>
      </c>
      <c r="F60" s="3">
        <v>180020.86000000002</v>
      </c>
      <c r="G60" s="3">
        <v>36004.1</v>
      </c>
      <c r="H60" s="3">
        <v>144016.75999999998</v>
      </c>
      <c r="J60" s="187">
        <f t="shared" si="3"/>
        <v>213115.5</v>
      </c>
      <c r="K60" s="187">
        <f t="shared" si="4"/>
        <v>42623.02</v>
      </c>
      <c r="L60" s="187">
        <f t="shared" si="2"/>
        <v>170492.48</v>
      </c>
      <c r="N60" s="3">
        <v>44416.11</v>
      </c>
      <c r="O60" s="3">
        <v>8883.2099999999991</v>
      </c>
      <c r="P60" s="3">
        <v>35532.9</v>
      </c>
    </row>
    <row r="61" spans="1:16">
      <c r="A61" s="59" t="s">
        <v>249</v>
      </c>
      <c r="B61" s="3">
        <v>4279.04</v>
      </c>
      <c r="C61" s="3">
        <v>855.80000000000007</v>
      </c>
      <c r="D61" s="3">
        <v>3423.2400000000002</v>
      </c>
      <c r="F61" s="3">
        <v>20089.219999999998</v>
      </c>
      <c r="G61" s="3">
        <v>4017.78</v>
      </c>
      <c r="H61" s="3">
        <v>16071.439999999999</v>
      </c>
      <c r="J61" s="187">
        <f t="shared" si="3"/>
        <v>24368.26</v>
      </c>
      <c r="K61" s="187">
        <f t="shared" si="4"/>
        <v>4873.58</v>
      </c>
      <c r="L61" s="187">
        <f t="shared" si="2"/>
        <v>19494.68</v>
      </c>
      <c r="N61" s="3">
        <v>1080.27</v>
      </c>
      <c r="O61" s="3">
        <v>216.04000000000002</v>
      </c>
      <c r="P61" s="3">
        <v>864.23</v>
      </c>
    </row>
    <row r="62" spans="1:16">
      <c r="A62" s="59" t="s">
        <v>250</v>
      </c>
      <c r="B62" s="3">
        <v>27742.2</v>
      </c>
      <c r="C62" s="3">
        <v>5548.43</v>
      </c>
      <c r="D62" s="3">
        <v>22193.77</v>
      </c>
      <c r="F62" s="3">
        <v>117685.76999999999</v>
      </c>
      <c r="G62" s="3">
        <v>23537.07</v>
      </c>
      <c r="H62" s="3">
        <v>94148.7</v>
      </c>
      <c r="J62" s="187">
        <f t="shared" si="3"/>
        <v>145427.97</v>
      </c>
      <c r="K62" s="187">
        <f t="shared" si="4"/>
        <v>29085.5</v>
      </c>
      <c r="L62" s="187">
        <f t="shared" si="2"/>
        <v>116342.47</v>
      </c>
      <c r="N62" s="3">
        <v>18144.03</v>
      </c>
      <c r="O62" s="3">
        <v>3628.8</v>
      </c>
      <c r="P62" s="3">
        <v>14515.23</v>
      </c>
    </row>
    <row r="63" spans="1:16">
      <c r="A63" s="59" t="s">
        <v>251</v>
      </c>
      <c r="B63" s="3">
        <v>17993.22</v>
      </c>
      <c r="C63" s="3">
        <v>3598.63</v>
      </c>
      <c r="D63" s="3">
        <v>14394.59</v>
      </c>
      <c r="F63" s="3">
        <v>199892.71999999997</v>
      </c>
      <c r="G63" s="3">
        <v>39978.47</v>
      </c>
      <c r="H63" s="3">
        <v>159914.25000000003</v>
      </c>
      <c r="J63" s="187">
        <f t="shared" si="3"/>
        <v>217885.93999999997</v>
      </c>
      <c r="K63" s="187">
        <f t="shared" si="4"/>
        <v>43577.1</v>
      </c>
      <c r="L63" s="187">
        <f t="shared" si="2"/>
        <v>174308.83999999997</v>
      </c>
      <c r="N63" s="3">
        <v>21935.65</v>
      </c>
      <c r="O63" s="3">
        <v>4387.13</v>
      </c>
      <c r="P63" s="3">
        <v>17548.52</v>
      </c>
    </row>
    <row r="64" spans="1:16">
      <c r="A64" s="59" t="s">
        <v>252</v>
      </c>
      <c r="B64" s="3">
        <v>7314.7199999999993</v>
      </c>
      <c r="C64" s="3">
        <v>1462.9299999999998</v>
      </c>
      <c r="D64" s="3">
        <v>5851.7900000000009</v>
      </c>
      <c r="F64" s="3">
        <v>47292.010000000009</v>
      </c>
      <c r="G64" s="3">
        <v>9458.3200000000015</v>
      </c>
      <c r="H64" s="3">
        <v>37833.689999999995</v>
      </c>
      <c r="J64" s="187">
        <f t="shared" si="3"/>
        <v>54606.73000000001</v>
      </c>
      <c r="K64" s="187">
        <f t="shared" si="4"/>
        <v>10921.250000000002</v>
      </c>
      <c r="L64" s="187">
        <f t="shared" si="2"/>
        <v>43685.48000000001</v>
      </c>
      <c r="N64" s="3">
        <v>8473.52</v>
      </c>
      <c r="O64" s="3">
        <v>1694.6999999999998</v>
      </c>
      <c r="P64" s="3">
        <v>6778.82</v>
      </c>
    </row>
    <row r="65" spans="1:16">
      <c r="A65" s="59" t="s">
        <v>253</v>
      </c>
      <c r="B65" s="3">
        <v>3874.46</v>
      </c>
      <c r="C65" s="3">
        <v>774.89</v>
      </c>
      <c r="D65" s="3">
        <v>3099.57</v>
      </c>
      <c r="F65" s="3">
        <v>66046.58</v>
      </c>
      <c r="G65" s="3">
        <v>13209.25</v>
      </c>
      <c r="H65" s="3">
        <v>52837.33</v>
      </c>
      <c r="J65" s="187">
        <f t="shared" si="3"/>
        <v>69921.040000000008</v>
      </c>
      <c r="K65" s="187">
        <f t="shared" si="4"/>
        <v>13984.14</v>
      </c>
      <c r="L65" s="187">
        <f t="shared" si="2"/>
        <v>55936.900000000009</v>
      </c>
      <c r="N65" s="3">
        <v>10228.83</v>
      </c>
      <c r="O65" s="3">
        <v>2045.75</v>
      </c>
      <c r="P65" s="3">
        <v>8183.08</v>
      </c>
    </row>
    <row r="66" spans="1:16">
      <c r="A66" s="59" t="s">
        <v>254</v>
      </c>
      <c r="B66" s="3">
        <v>42040.56</v>
      </c>
      <c r="C66" s="3">
        <v>8408.1</v>
      </c>
      <c r="D66" s="3">
        <v>33632.46</v>
      </c>
      <c r="F66" s="3">
        <v>585622.04</v>
      </c>
      <c r="G66" s="3">
        <v>117124.33999999998</v>
      </c>
      <c r="H66" s="3">
        <v>468497.7</v>
      </c>
      <c r="J66" s="187">
        <f t="shared" si="3"/>
        <v>627662.60000000009</v>
      </c>
      <c r="K66" s="187">
        <f t="shared" si="4"/>
        <v>125532.43999999999</v>
      </c>
      <c r="L66" s="187">
        <f t="shared" si="2"/>
        <v>502130.16000000009</v>
      </c>
      <c r="N66" s="3">
        <v>90045.010000000009</v>
      </c>
      <c r="O66" s="3">
        <v>18008.989999999998</v>
      </c>
      <c r="P66" s="3">
        <v>72036.01999999999</v>
      </c>
    </row>
    <row r="67" spans="1:16">
      <c r="A67" s="59" t="s">
        <v>255</v>
      </c>
      <c r="B67" s="3">
        <v>18121.87</v>
      </c>
      <c r="C67" s="3">
        <v>3624.37</v>
      </c>
      <c r="D67" s="3">
        <v>14497.5</v>
      </c>
      <c r="F67" s="3">
        <v>122132.61999999998</v>
      </c>
      <c r="G67" s="3">
        <v>24426.47</v>
      </c>
      <c r="H67" s="3">
        <v>97706.15</v>
      </c>
      <c r="J67" s="187">
        <f t="shared" si="3"/>
        <v>140254.49</v>
      </c>
      <c r="K67" s="187">
        <f t="shared" si="4"/>
        <v>28050.84</v>
      </c>
      <c r="L67" s="187">
        <f t="shared" si="2"/>
        <v>112203.65</v>
      </c>
      <c r="N67" s="3">
        <v>18027.099999999999</v>
      </c>
      <c r="O67" s="3">
        <v>3605.41</v>
      </c>
      <c r="P67" s="3">
        <v>14421.689999999999</v>
      </c>
    </row>
    <row r="68" spans="1:16">
      <c r="A68" s="59" t="s">
        <v>256</v>
      </c>
      <c r="B68" s="3">
        <v>6362.99</v>
      </c>
      <c r="C68" s="3">
        <v>1272.5900000000001</v>
      </c>
      <c r="D68" s="3">
        <v>5090.3999999999996</v>
      </c>
      <c r="F68" s="3">
        <v>52742.410000000011</v>
      </c>
      <c r="G68" s="3">
        <v>10548.43</v>
      </c>
      <c r="H68" s="3">
        <v>42193.98000000001</v>
      </c>
      <c r="J68" s="187">
        <f t="shared" ref="J68:J81" si="5">B68+F68</f>
        <v>59105.400000000009</v>
      </c>
      <c r="K68" s="187">
        <f t="shared" ref="K68:K81" si="6">C68+G68</f>
        <v>11821.02</v>
      </c>
      <c r="L68" s="187">
        <f t="shared" si="2"/>
        <v>47284.380000000005</v>
      </c>
      <c r="N68" s="3">
        <v>9812.2099999999991</v>
      </c>
      <c r="O68" s="3">
        <v>1962.43</v>
      </c>
      <c r="P68" s="3">
        <v>7849.7800000000007</v>
      </c>
    </row>
    <row r="69" spans="1:16">
      <c r="A69" s="59" t="s">
        <v>257</v>
      </c>
      <c r="B69" s="3">
        <v>20629.57</v>
      </c>
      <c r="C69" s="3">
        <v>4125.8999999999996</v>
      </c>
      <c r="D69" s="3">
        <v>16503.669999999998</v>
      </c>
      <c r="F69" s="3">
        <v>139732.96999999997</v>
      </c>
      <c r="G69" s="3">
        <v>27946.519999999997</v>
      </c>
      <c r="H69" s="3">
        <v>111786.45</v>
      </c>
      <c r="J69" s="187">
        <f t="shared" si="5"/>
        <v>160362.53999999998</v>
      </c>
      <c r="K69" s="187">
        <f t="shared" si="6"/>
        <v>32072.42</v>
      </c>
      <c r="L69" s="187">
        <f t="shared" ref="L69:L81" si="7">J69-K69</f>
        <v>128290.11999999998</v>
      </c>
      <c r="N69" s="3">
        <v>28693.739999999998</v>
      </c>
      <c r="O69" s="3">
        <v>5738.74</v>
      </c>
      <c r="P69" s="3">
        <v>22955</v>
      </c>
    </row>
    <row r="70" spans="1:16">
      <c r="A70" s="59" t="s">
        <v>258</v>
      </c>
      <c r="B70" s="3">
        <v>6821.6100000000006</v>
      </c>
      <c r="C70" s="3">
        <v>1364.32</v>
      </c>
      <c r="D70" s="3">
        <v>5457.29</v>
      </c>
      <c r="F70" s="3">
        <v>59237.99</v>
      </c>
      <c r="G70" s="3">
        <v>11847.55</v>
      </c>
      <c r="H70" s="3">
        <v>47390.44</v>
      </c>
      <c r="I70" s="60"/>
      <c r="J70" s="187">
        <f t="shared" si="5"/>
        <v>66059.600000000006</v>
      </c>
      <c r="K70" s="187">
        <f t="shared" si="6"/>
        <v>13211.869999999999</v>
      </c>
      <c r="L70" s="187">
        <f t="shared" si="7"/>
        <v>52847.73000000001</v>
      </c>
      <c r="N70" s="3">
        <v>11676.779999999999</v>
      </c>
      <c r="O70" s="3">
        <v>2335.3500000000004</v>
      </c>
      <c r="P70" s="3">
        <v>9341.43</v>
      </c>
    </row>
    <row r="71" spans="1:16">
      <c r="A71" s="59" t="s">
        <v>259</v>
      </c>
      <c r="B71" s="3">
        <v>121682.41</v>
      </c>
      <c r="C71" s="3">
        <v>24336.48</v>
      </c>
      <c r="D71" s="3">
        <v>97345.93</v>
      </c>
      <c r="F71" s="3">
        <v>745266.26</v>
      </c>
      <c r="G71" s="3">
        <v>149053.18</v>
      </c>
      <c r="H71" s="3">
        <v>596213.07999999996</v>
      </c>
      <c r="J71" s="187">
        <f t="shared" si="5"/>
        <v>866948.67</v>
      </c>
      <c r="K71" s="187">
        <f t="shared" si="6"/>
        <v>173389.66</v>
      </c>
      <c r="L71" s="187">
        <f t="shared" si="7"/>
        <v>693559.01</v>
      </c>
      <c r="N71" s="3">
        <v>82241.06</v>
      </c>
      <c r="O71" s="3">
        <v>16448.2</v>
      </c>
      <c r="P71" s="3">
        <v>65792.86</v>
      </c>
    </row>
    <row r="72" spans="1:16">
      <c r="A72" s="59" t="s">
        <v>91</v>
      </c>
      <c r="B72" s="3">
        <v>4844.6500000000005</v>
      </c>
      <c r="C72" s="3">
        <v>968.92</v>
      </c>
      <c r="D72" s="3">
        <v>3875.73</v>
      </c>
      <c r="F72" s="3">
        <v>48941.259999999987</v>
      </c>
      <c r="G72" s="3">
        <v>9788.1799999999985</v>
      </c>
      <c r="H72" s="3">
        <v>39153.080000000009</v>
      </c>
      <c r="J72" s="187">
        <f t="shared" si="5"/>
        <v>53785.909999999989</v>
      </c>
      <c r="K72" s="187">
        <f t="shared" si="6"/>
        <v>10757.099999999999</v>
      </c>
      <c r="L72" s="187">
        <f t="shared" si="7"/>
        <v>43028.80999999999</v>
      </c>
      <c r="N72" s="3">
        <v>11949.619999999999</v>
      </c>
      <c r="O72" s="3">
        <v>2389.92</v>
      </c>
      <c r="P72" s="3">
        <v>9559.7000000000007</v>
      </c>
    </row>
    <row r="73" spans="1:16">
      <c r="A73" s="59" t="s">
        <v>92</v>
      </c>
      <c r="B73" s="3">
        <v>365234.82</v>
      </c>
      <c r="C73" s="3">
        <v>73046.959999999992</v>
      </c>
      <c r="D73" s="3">
        <v>292187.86</v>
      </c>
      <c r="F73" s="3">
        <v>2610687.08</v>
      </c>
      <c r="G73" s="3">
        <v>522137.35999999993</v>
      </c>
      <c r="H73" s="3">
        <v>2088549.72</v>
      </c>
      <c r="J73" s="187">
        <f t="shared" si="5"/>
        <v>2975921.9</v>
      </c>
      <c r="K73" s="187">
        <f t="shared" si="6"/>
        <v>595184.31999999995</v>
      </c>
      <c r="L73" s="187">
        <f t="shared" si="7"/>
        <v>2380737.58</v>
      </c>
      <c r="N73" s="3">
        <v>359923.61</v>
      </c>
      <c r="O73" s="3">
        <v>71984.709999999992</v>
      </c>
      <c r="P73" s="3">
        <v>287938.90000000002</v>
      </c>
    </row>
    <row r="74" spans="1:16">
      <c r="A74" s="59" t="s">
        <v>93</v>
      </c>
      <c r="B74" s="3">
        <v>9530.34</v>
      </c>
      <c r="C74" s="3">
        <v>1906.06</v>
      </c>
      <c r="D74" s="3">
        <v>7624.2800000000007</v>
      </c>
      <c r="F74" s="3">
        <v>86301</v>
      </c>
      <c r="G74" s="3">
        <v>17260.120000000003</v>
      </c>
      <c r="H74" s="3">
        <v>69040.87999999999</v>
      </c>
      <c r="J74" s="187">
        <f t="shared" si="5"/>
        <v>95831.34</v>
      </c>
      <c r="K74" s="187">
        <f t="shared" si="6"/>
        <v>19166.180000000004</v>
      </c>
      <c r="L74" s="187">
        <f t="shared" si="7"/>
        <v>76665.159999999989</v>
      </c>
      <c r="N74" s="3">
        <v>26910.379999999997</v>
      </c>
      <c r="O74" s="3">
        <v>5382.07</v>
      </c>
      <c r="P74" s="3">
        <v>21528.31</v>
      </c>
    </row>
    <row r="75" spans="1:16">
      <c r="A75" s="59" t="s">
        <v>94</v>
      </c>
      <c r="B75" s="3">
        <v>28524.47</v>
      </c>
      <c r="C75" s="3">
        <v>5704.88</v>
      </c>
      <c r="D75" s="3">
        <v>22819.59</v>
      </c>
      <c r="F75" s="3">
        <v>110036.69</v>
      </c>
      <c r="G75" s="3">
        <v>22007.279999999999</v>
      </c>
      <c r="H75" s="3">
        <v>88029.41</v>
      </c>
      <c r="J75" s="187">
        <f t="shared" si="5"/>
        <v>138561.16</v>
      </c>
      <c r="K75" s="187">
        <f t="shared" si="6"/>
        <v>27712.16</v>
      </c>
      <c r="L75" s="187">
        <f t="shared" si="7"/>
        <v>110849</v>
      </c>
      <c r="N75" s="3">
        <v>12332.95</v>
      </c>
      <c r="O75" s="3">
        <v>2466.58</v>
      </c>
      <c r="P75" s="3">
        <v>9866.369999999999</v>
      </c>
    </row>
    <row r="76" spans="1:16">
      <c r="A76" s="59" t="s">
        <v>95</v>
      </c>
      <c r="B76" s="3">
        <v>47991.270000000004</v>
      </c>
      <c r="C76" s="3">
        <v>9598.25</v>
      </c>
      <c r="D76" s="3">
        <v>38393.019999999997</v>
      </c>
      <c r="F76" s="3">
        <v>166942.03000000003</v>
      </c>
      <c r="G76" s="3">
        <v>33388.36</v>
      </c>
      <c r="H76" s="3">
        <v>133553.66999999998</v>
      </c>
      <c r="J76" s="187">
        <f t="shared" si="5"/>
        <v>214933.30000000005</v>
      </c>
      <c r="K76" s="187">
        <f t="shared" si="6"/>
        <v>42986.61</v>
      </c>
      <c r="L76" s="187">
        <f t="shared" si="7"/>
        <v>171946.69000000006</v>
      </c>
      <c r="N76" s="3">
        <v>33313.61</v>
      </c>
      <c r="O76" s="3">
        <v>6662.71</v>
      </c>
      <c r="P76" s="3">
        <v>26650.9</v>
      </c>
    </row>
    <row r="77" spans="1:16">
      <c r="A77" s="59" t="s">
        <v>260</v>
      </c>
      <c r="B77" s="3">
        <v>96898.23</v>
      </c>
      <c r="C77" s="3">
        <v>19379.64</v>
      </c>
      <c r="D77" s="3">
        <v>77518.59</v>
      </c>
      <c r="F77" s="3">
        <v>644353.59</v>
      </c>
      <c r="G77" s="3">
        <v>128870.63999999998</v>
      </c>
      <c r="H77" s="3">
        <v>515482.95000000007</v>
      </c>
      <c r="J77" s="187">
        <f t="shared" si="5"/>
        <v>741251.82</v>
      </c>
      <c r="K77" s="187">
        <f t="shared" si="6"/>
        <v>148250.27999999997</v>
      </c>
      <c r="L77" s="187">
        <f t="shared" si="7"/>
        <v>593001.54</v>
      </c>
      <c r="N77" s="3">
        <v>69389.649999999994</v>
      </c>
      <c r="O77" s="3">
        <v>13877.92</v>
      </c>
      <c r="P77" s="3">
        <v>55511.729999999996</v>
      </c>
    </row>
    <row r="78" spans="1:16">
      <c r="A78" s="59" t="s">
        <v>96</v>
      </c>
      <c r="B78" s="3">
        <v>2809.26</v>
      </c>
      <c r="C78" s="3">
        <v>561.85</v>
      </c>
      <c r="D78" s="3">
        <v>2247.41</v>
      </c>
      <c r="F78" s="3">
        <v>48843.39</v>
      </c>
      <c r="G78" s="3">
        <v>9768.61</v>
      </c>
      <c r="H78" s="3">
        <v>39074.78</v>
      </c>
      <c r="J78" s="187">
        <f t="shared" si="5"/>
        <v>51652.65</v>
      </c>
      <c r="K78" s="187">
        <f t="shared" si="6"/>
        <v>10330.460000000001</v>
      </c>
      <c r="L78" s="187">
        <f t="shared" si="7"/>
        <v>41322.19</v>
      </c>
      <c r="N78" s="3">
        <v>3470.94</v>
      </c>
      <c r="O78" s="3">
        <v>694.18</v>
      </c>
      <c r="P78" s="3">
        <v>2776.7599999999998</v>
      </c>
    </row>
    <row r="79" spans="1:16">
      <c r="A79" s="59" t="s">
        <v>97</v>
      </c>
      <c r="B79" s="3">
        <v>4177.2700000000004</v>
      </c>
      <c r="C79" s="3">
        <v>835.43999999999994</v>
      </c>
      <c r="D79" s="3">
        <v>3341.83</v>
      </c>
      <c r="F79" s="3">
        <v>98236.150000000009</v>
      </c>
      <c r="G79" s="3">
        <v>19647.18</v>
      </c>
      <c r="H79" s="3">
        <v>78588.97</v>
      </c>
      <c r="J79" s="187">
        <f t="shared" si="5"/>
        <v>102413.42000000001</v>
      </c>
      <c r="K79" s="187">
        <f t="shared" si="6"/>
        <v>20482.62</v>
      </c>
      <c r="L79" s="187">
        <f t="shared" si="7"/>
        <v>81930.800000000017</v>
      </c>
      <c r="N79" s="3">
        <v>18591.740000000002</v>
      </c>
      <c r="O79" s="3">
        <v>3718.34</v>
      </c>
      <c r="P79" s="3">
        <v>14873.400000000001</v>
      </c>
    </row>
    <row r="80" spans="1:16">
      <c r="A80" s="59" t="s">
        <v>261</v>
      </c>
      <c r="B80" s="3">
        <v>491833.93999999994</v>
      </c>
      <c r="C80" s="3">
        <v>98366.78</v>
      </c>
      <c r="D80" s="3">
        <v>393467.16000000003</v>
      </c>
      <c r="F80" s="3">
        <v>2816738.1200000006</v>
      </c>
      <c r="G80" s="3">
        <v>563347.54</v>
      </c>
      <c r="H80" s="3">
        <v>2253390.5800000005</v>
      </c>
      <c r="J80" s="187">
        <f t="shared" si="5"/>
        <v>3308572.0600000005</v>
      </c>
      <c r="K80" s="187">
        <f t="shared" si="6"/>
        <v>661714.32000000007</v>
      </c>
      <c r="L80" s="187">
        <f t="shared" si="7"/>
        <v>2646857.7400000002</v>
      </c>
      <c r="N80" s="3">
        <v>442825.20999999996</v>
      </c>
      <c r="O80" s="3">
        <v>88565.03</v>
      </c>
      <c r="P80" s="3">
        <v>354260.18</v>
      </c>
    </row>
    <row r="81" spans="1:16">
      <c r="A81" s="59" t="s">
        <v>262</v>
      </c>
      <c r="B81" s="3">
        <v>615983.5</v>
      </c>
      <c r="C81" s="3">
        <v>123196.69</v>
      </c>
      <c r="D81" s="3">
        <v>492786.81000000006</v>
      </c>
      <c r="F81" s="3">
        <v>3190176.18</v>
      </c>
      <c r="G81" s="3">
        <v>638035.18999999994</v>
      </c>
      <c r="H81" s="3">
        <v>2552140.9900000002</v>
      </c>
      <c r="J81" s="187">
        <f t="shared" si="5"/>
        <v>3806159.68</v>
      </c>
      <c r="K81" s="187">
        <f t="shared" si="6"/>
        <v>761231.87999999989</v>
      </c>
      <c r="L81" s="187">
        <f t="shared" si="7"/>
        <v>3044927.8000000003</v>
      </c>
      <c r="N81" s="3">
        <v>512960.06</v>
      </c>
      <c r="O81" s="3">
        <v>102592</v>
      </c>
      <c r="P81" s="3">
        <v>410368.05999999994</v>
      </c>
    </row>
    <row r="82" spans="1:16">
      <c r="B82" s="11"/>
      <c r="C82" s="11"/>
      <c r="D82" s="11"/>
      <c r="F82"/>
      <c r="G82"/>
      <c r="H82"/>
      <c r="J82" s="90"/>
      <c r="K82" s="90"/>
      <c r="L82" s="90"/>
    </row>
    <row r="83" spans="1:16">
      <c r="A83" s="11" t="s">
        <v>3</v>
      </c>
      <c r="B83" s="12">
        <f>SUM(B4:B81)</f>
        <v>4232153.87</v>
      </c>
      <c r="C83" s="12">
        <f>SUM(C4:C81)</f>
        <v>846430.17999999993</v>
      </c>
      <c r="D83" s="12">
        <f>SUM(D4:D81)</f>
        <v>3385723.69</v>
      </c>
      <c r="F83" s="12">
        <f>SUM(F4:F81)</f>
        <v>24315436.27</v>
      </c>
      <c r="G83" s="12">
        <f t="shared" ref="G83:H83" si="8">SUM(G4:G81)</f>
        <v>4863081.8899999987</v>
      </c>
      <c r="H83" s="12">
        <f t="shared" si="8"/>
        <v>19452354.380000003</v>
      </c>
      <c r="J83" s="12">
        <f t="shared" ref="J83" si="9">B83+F83</f>
        <v>28547590.140000001</v>
      </c>
      <c r="K83" s="12">
        <f t="shared" ref="K83" si="10">C83+G83</f>
        <v>5709512.0699999984</v>
      </c>
      <c r="L83" s="12">
        <f t="shared" ref="L83" si="11">D83+H83</f>
        <v>22838078.070000004</v>
      </c>
      <c r="N83" s="12">
        <f>SUM(N4:N81)</f>
        <v>4177886.9299999997</v>
      </c>
      <c r="O83" s="12">
        <f>SUM(O4:O81)</f>
        <v>835576.75999999978</v>
      </c>
      <c r="P83" s="12">
        <f>SUM(P4:P81)</f>
        <v>3342310.1700000009</v>
      </c>
    </row>
    <row r="84" spans="1:16">
      <c r="F84" s="13"/>
      <c r="G84" s="13"/>
      <c r="H84" s="13"/>
      <c r="J84" s="13"/>
      <c r="K84" s="13"/>
      <c r="L84" s="13"/>
      <c r="N84" s="13"/>
      <c r="O84" s="13"/>
      <c r="P84" s="13"/>
    </row>
    <row r="85" spans="1:16" s="85" customFormat="1">
      <c r="A85" s="85" t="s">
        <v>310</v>
      </c>
      <c r="B85" s="88">
        <v>4232153.87</v>
      </c>
      <c r="C85" s="88">
        <v>846430.18</v>
      </c>
      <c r="D85" s="88">
        <v>3385723.69</v>
      </c>
      <c r="F85" s="88">
        <v>24315436.27</v>
      </c>
      <c r="G85" s="88">
        <v>4863081.8899999997</v>
      </c>
      <c r="H85" s="88">
        <f>F85-G85</f>
        <v>19452354.379999999</v>
      </c>
      <c r="J85" s="88">
        <v>28547590.140000001</v>
      </c>
      <c r="K85" s="88">
        <v>5709512.0700000003</v>
      </c>
      <c r="L85" s="88">
        <v>22838078.07</v>
      </c>
      <c r="N85" s="88">
        <v>4177886.93</v>
      </c>
      <c r="O85" s="88">
        <v>835576.76</v>
      </c>
      <c r="P85" s="88">
        <v>3342310.17</v>
      </c>
    </row>
    <row r="86" spans="1:16" s="274" customFormat="1" ht="26.25" customHeight="1">
      <c r="A86" s="274" t="s">
        <v>369</v>
      </c>
      <c r="B86" s="275">
        <f>B83-B85</f>
        <v>0</v>
      </c>
      <c r="C86" s="275">
        <f t="shared" ref="C86:D86" si="12">C83-C85</f>
        <v>0</v>
      </c>
      <c r="D86" s="275">
        <f t="shared" si="12"/>
        <v>0</v>
      </c>
      <c r="F86" s="275">
        <f>F83-F85</f>
        <v>0</v>
      </c>
      <c r="G86" s="275">
        <f t="shared" ref="G86:H86" si="13">G83-G85</f>
        <v>0</v>
      </c>
      <c r="H86" s="275">
        <f t="shared" si="13"/>
        <v>0</v>
      </c>
      <c r="J86" s="275">
        <f t="shared" ref="J86:L86" si="14">J83-J85</f>
        <v>0</v>
      </c>
      <c r="K86" s="275">
        <f t="shared" si="14"/>
        <v>0</v>
      </c>
      <c r="L86" s="275">
        <f t="shared" si="14"/>
        <v>0</v>
      </c>
      <c r="N86" s="275">
        <f>N83-N85</f>
        <v>0</v>
      </c>
      <c r="O86" s="275">
        <f t="shared" ref="O86:P86" si="15">O83-O85</f>
        <v>0</v>
      </c>
      <c r="P86" s="275">
        <f t="shared" si="15"/>
        <v>0</v>
      </c>
    </row>
    <row r="87" spans="1:16">
      <c r="F87" s="13"/>
      <c r="G87" s="13"/>
      <c r="H87" s="13"/>
      <c r="J87" s="13"/>
      <c r="K87" s="13"/>
      <c r="L87" s="13"/>
      <c r="N87" s="13"/>
      <c r="O87" s="13"/>
      <c r="P87" s="13"/>
    </row>
    <row r="88" spans="1:16">
      <c r="F88" s="13"/>
      <c r="G88" s="13"/>
      <c r="H88" s="13"/>
      <c r="J88" s="13"/>
      <c r="K88" s="13"/>
      <c r="L88" s="13"/>
      <c r="N88" s="13"/>
      <c r="O88" s="13"/>
      <c r="P88" s="13"/>
    </row>
    <row r="89" spans="1:16">
      <c r="B89" s="12"/>
      <c r="C89" s="12"/>
      <c r="D89" s="12"/>
      <c r="F89" s="246"/>
      <c r="G89" s="12"/>
      <c r="H89" s="12"/>
      <c r="J89" s="13"/>
      <c r="K89" s="13"/>
      <c r="L89" s="12"/>
      <c r="N89" s="13"/>
      <c r="O89" s="12"/>
      <c r="P89" s="12"/>
    </row>
    <row r="90" spans="1:16">
      <c r="F90" s="13"/>
      <c r="G90" s="13"/>
      <c r="H90" s="13"/>
      <c r="J90" s="13"/>
      <c r="K90" s="12"/>
      <c r="L90" s="12"/>
      <c r="N90" s="246"/>
      <c r="O90" s="12"/>
      <c r="P90" s="12"/>
    </row>
    <row r="91" spans="1:16">
      <c r="F91" s="13"/>
      <c r="G91" s="12"/>
      <c r="H91" s="12"/>
      <c r="J91" s="13"/>
      <c r="K91" s="13"/>
      <c r="L91" s="13"/>
      <c r="N91" s="13"/>
      <c r="O91" s="13"/>
      <c r="P91" s="13"/>
    </row>
    <row r="92" spans="1:16">
      <c r="F92" s="13"/>
      <c r="G92" s="12"/>
      <c r="H92" s="12"/>
      <c r="J92" s="13"/>
      <c r="K92" s="13"/>
      <c r="L92" s="13"/>
      <c r="N92" s="13"/>
      <c r="O92" s="12"/>
      <c r="P92" s="12"/>
    </row>
    <row r="93" spans="1:16">
      <c r="F93" s="13"/>
      <c r="G93" s="13"/>
      <c r="H93" s="13"/>
      <c r="J93" s="13"/>
      <c r="K93" s="13"/>
      <c r="L93" s="13"/>
      <c r="N93" s="13"/>
      <c r="O93" s="13"/>
      <c r="P93" s="13"/>
    </row>
    <row r="94" spans="1:16">
      <c r="F94" s="13"/>
      <c r="G94" s="13"/>
      <c r="H94" s="13"/>
      <c r="J94" s="13"/>
      <c r="K94" s="13"/>
      <c r="L94" s="13"/>
      <c r="N94" s="13"/>
      <c r="O94" s="13"/>
      <c r="P94" s="13"/>
    </row>
    <row r="95" spans="1:16">
      <c r="F95" s="13"/>
      <c r="G95" s="13"/>
      <c r="H95" s="13"/>
      <c r="J95" s="13"/>
      <c r="K95" s="13"/>
      <c r="L95" s="13"/>
      <c r="N95" s="13"/>
      <c r="O95" s="13"/>
      <c r="P95" s="13"/>
    </row>
    <row r="96" spans="1:16">
      <c r="F96" s="13"/>
      <c r="G96" s="13"/>
      <c r="H96" s="13"/>
      <c r="J96" s="13"/>
      <c r="K96" s="13"/>
      <c r="L96" s="13"/>
      <c r="N96" s="13"/>
      <c r="O96" s="13"/>
      <c r="P96" s="13"/>
    </row>
    <row r="97" spans="6:16">
      <c r="F97" s="13"/>
      <c r="G97" s="13"/>
      <c r="H97" s="13"/>
      <c r="J97" s="13"/>
      <c r="K97" s="13"/>
      <c r="L97" s="13"/>
      <c r="N97" s="13"/>
      <c r="O97" s="13"/>
      <c r="P97" s="13"/>
    </row>
    <row r="98" spans="6:16">
      <c r="F98" s="13"/>
      <c r="G98" s="13"/>
      <c r="H98" s="13"/>
      <c r="J98" s="13"/>
      <c r="K98" s="13"/>
      <c r="L98" s="13"/>
      <c r="N98" s="13"/>
      <c r="O98" s="13"/>
      <c r="P98" s="13"/>
    </row>
    <row r="99" spans="6:16">
      <c r="F99" s="13"/>
      <c r="G99" s="13"/>
      <c r="H99" s="13"/>
      <c r="J99" s="13"/>
      <c r="K99" s="13"/>
      <c r="L99" s="13"/>
      <c r="N99" s="13"/>
      <c r="O99" s="13"/>
      <c r="P99" s="13"/>
    </row>
    <row r="100" spans="6:16">
      <c r="F100" s="13"/>
      <c r="G100" s="13"/>
      <c r="H100" s="13"/>
      <c r="J100" s="13"/>
      <c r="K100" s="13"/>
      <c r="L100" s="13"/>
      <c r="N100" s="13"/>
      <c r="O100" s="13"/>
      <c r="P100" s="13"/>
    </row>
    <row r="101" spans="6:16">
      <c r="F101" s="13"/>
      <c r="G101" s="13"/>
      <c r="H101" s="13"/>
      <c r="J101" s="13"/>
      <c r="K101" s="13"/>
      <c r="L101" s="13"/>
      <c r="N101" s="13"/>
      <c r="O101" s="13"/>
      <c r="P101" s="13"/>
    </row>
    <row r="102" spans="6:16">
      <c r="F102" s="13"/>
      <c r="G102" s="13"/>
      <c r="H102" s="13"/>
      <c r="J102" s="13"/>
      <c r="K102" s="13"/>
      <c r="L102" s="13"/>
      <c r="N102" s="13"/>
      <c r="O102" s="13"/>
      <c r="P102" s="13"/>
    </row>
    <row r="103" spans="6:16">
      <c r="F103" s="13"/>
      <c r="G103" s="13"/>
      <c r="H103" s="13"/>
      <c r="J103" s="13"/>
      <c r="K103" s="13"/>
      <c r="L103" s="13"/>
      <c r="N103" s="13"/>
      <c r="O103" s="13"/>
      <c r="P103" s="13"/>
    </row>
    <row r="104" spans="6:16">
      <c r="F104" s="13"/>
      <c r="G104" s="13"/>
      <c r="H104" s="13"/>
      <c r="J104" s="13"/>
      <c r="K104" s="13"/>
      <c r="L104" s="13"/>
      <c r="N104" s="13"/>
      <c r="O104" s="13"/>
      <c r="P104" s="13"/>
    </row>
    <row r="105" spans="6:16">
      <c r="F105" s="13"/>
      <c r="G105" s="13"/>
      <c r="H105" s="13"/>
      <c r="J105" s="13"/>
      <c r="K105" s="13"/>
      <c r="L105" s="13"/>
      <c r="N105" s="13"/>
      <c r="O105" s="13"/>
      <c r="P105" s="13"/>
    </row>
    <row r="106" spans="6:16">
      <c r="F106" s="13"/>
      <c r="G106" s="13"/>
      <c r="H106" s="13"/>
      <c r="J106" s="13"/>
      <c r="K106" s="13"/>
      <c r="L106" s="13"/>
      <c r="N106" s="13"/>
      <c r="O106" s="13"/>
      <c r="P106" s="13"/>
    </row>
    <row r="107" spans="6:16">
      <c r="F107" s="13"/>
      <c r="G107" s="13"/>
      <c r="H107" s="13"/>
      <c r="J107" s="13"/>
      <c r="K107" s="13"/>
      <c r="L107" s="13"/>
      <c r="N107" s="13"/>
      <c r="O107" s="13"/>
      <c r="P107" s="13"/>
    </row>
    <row r="108" spans="6:16">
      <c r="F108" s="13"/>
      <c r="G108" s="13"/>
      <c r="H108" s="13"/>
      <c r="J108" s="13"/>
      <c r="K108" s="13"/>
      <c r="L108" s="13"/>
      <c r="N108" s="13"/>
      <c r="O108" s="13"/>
      <c r="P108" s="13"/>
    </row>
    <row r="109" spans="6:16">
      <c r="F109" s="13"/>
      <c r="G109" s="13"/>
      <c r="H109" s="13"/>
      <c r="J109" s="13"/>
      <c r="K109" s="13"/>
      <c r="L109" s="13"/>
      <c r="N109" s="13"/>
      <c r="O109" s="13"/>
      <c r="P109" s="13"/>
    </row>
    <row r="110" spans="6:16">
      <c r="F110" s="13"/>
      <c r="G110" s="13"/>
      <c r="H110" s="13"/>
      <c r="J110" s="13"/>
      <c r="K110" s="13"/>
      <c r="L110" s="13"/>
      <c r="N110" s="13"/>
      <c r="O110" s="13"/>
      <c r="P110" s="13"/>
    </row>
    <row r="111" spans="6:16">
      <c r="F111" s="13"/>
      <c r="G111" s="13"/>
      <c r="H111" s="13"/>
      <c r="J111" s="13"/>
      <c r="K111" s="13"/>
      <c r="L111" s="13"/>
      <c r="N111" s="13"/>
      <c r="O111" s="13"/>
      <c r="P111" s="13"/>
    </row>
    <row r="112" spans="6:16">
      <c r="F112" s="13"/>
      <c r="G112" s="13"/>
      <c r="H112" s="13"/>
      <c r="J112" s="13"/>
      <c r="K112" s="13"/>
      <c r="L112" s="13"/>
      <c r="N112" s="13"/>
      <c r="O112" s="13"/>
      <c r="P112" s="13"/>
    </row>
    <row r="113" spans="6:16">
      <c r="F113" s="13"/>
      <c r="G113" s="13"/>
      <c r="H113" s="13"/>
      <c r="J113" s="13"/>
      <c r="K113" s="13"/>
      <c r="L113" s="13"/>
      <c r="N113" s="13"/>
      <c r="O113" s="13"/>
      <c r="P113" s="13"/>
    </row>
    <row r="114" spans="6:16">
      <c r="F114" s="13"/>
      <c r="G114" s="13"/>
      <c r="H114" s="13"/>
      <c r="J114" s="13"/>
      <c r="K114" s="13"/>
      <c r="L114" s="13"/>
      <c r="N114" s="13"/>
      <c r="O114" s="13"/>
      <c r="P114" s="13"/>
    </row>
    <row r="115" spans="6:16">
      <c r="F115" s="13"/>
      <c r="G115" s="13"/>
      <c r="H115" s="13"/>
      <c r="J115" s="13"/>
      <c r="K115" s="13"/>
      <c r="L115" s="13"/>
      <c r="N115" s="13"/>
      <c r="O115" s="13"/>
      <c r="P115" s="13"/>
    </row>
    <row r="116" spans="6:16">
      <c r="F116" s="13"/>
      <c r="G116" s="13"/>
      <c r="H116" s="13"/>
      <c r="J116" s="13"/>
      <c r="K116" s="13"/>
      <c r="L116" s="13"/>
      <c r="N116" s="13"/>
      <c r="O116" s="13"/>
      <c r="P116" s="13"/>
    </row>
    <row r="117" spans="6:16">
      <c r="F117" s="13"/>
      <c r="G117" s="13"/>
      <c r="H117" s="13"/>
      <c r="J117" s="13"/>
      <c r="K117" s="13"/>
      <c r="L117" s="13"/>
      <c r="N117" s="13"/>
      <c r="O117" s="13"/>
      <c r="P117" s="13"/>
    </row>
    <row r="118" spans="6:16">
      <c r="F118" s="13"/>
      <c r="G118" s="13"/>
      <c r="H118" s="13"/>
      <c r="J118" s="13"/>
      <c r="K118" s="13"/>
      <c r="L118" s="13"/>
      <c r="N118" s="13"/>
      <c r="O118" s="13"/>
      <c r="P118" s="13"/>
    </row>
    <row r="119" spans="6:16">
      <c r="F119" s="13"/>
      <c r="G119" s="13"/>
      <c r="H119" s="13"/>
      <c r="J119" s="13"/>
      <c r="K119" s="13"/>
      <c r="L119" s="13"/>
      <c r="N119" s="13"/>
      <c r="O119" s="13"/>
      <c r="P119" s="13"/>
    </row>
    <row r="120" spans="6:16">
      <c r="F120" s="13"/>
      <c r="G120" s="13"/>
      <c r="H120" s="13"/>
      <c r="J120" s="13"/>
      <c r="K120" s="13"/>
      <c r="L120" s="13"/>
      <c r="N120" s="13"/>
      <c r="O120" s="13"/>
      <c r="P120" s="13"/>
    </row>
    <row r="121" spans="6:16">
      <c r="F121" s="13"/>
      <c r="G121" s="13"/>
      <c r="H121" s="13"/>
      <c r="J121" s="13"/>
      <c r="K121" s="13"/>
      <c r="L121" s="13"/>
      <c r="N121" s="13"/>
      <c r="O121" s="13"/>
      <c r="P121" s="13"/>
    </row>
    <row r="122" spans="6:16">
      <c r="F122" s="13"/>
      <c r="G122" s="13"/>
      <c r="H122" s="13"/>
      <c r="J122" s="13"/>
      <c r="K122" s="13"/>
      <c r="L122" s="13"/>
      <c r="N122" s="13"/>
      <c r="O122" s="13"/>
      <c r="P122" s="13"/>
    </row>
    <row r="123" spans="6:16">
      <c r="F123" s="13"/>
      <c r="G123" s="13"/>
      <c r="H123" s="13"/>
      <c r="J123" s="13"/>
      <c r="K123" s="13"/>
      <c r="L123" s="13"/>
      <c r="N123" s="13"/>
      <c r="O123" s="13"/>
      <c r="P123" s="13"/>
    </row>
    <row r="124" spans="6:16">
      <c r="F124" s="13"/>
      <c r="G124" s="13"/>
      <c r="H124" s="13"/>
      <c r="J124" s="13"/>
      <c r="K124" s="13"/>
      <c r="L124" s="13"/>
      <c r="N124" s="13"/>
      <c r="O124" s="13"/>
      <c r="P124" s="13"/>
    </row>
    <row r="125" spans="6:16">
      <c r="F125" s="13"/>
      <c r="G125" s="13"/>
      <c r="H125" s="13"/>
      <c r="J125" s="13"/>
      <c r="K125" s="13"/>
      <c r="L125" s="13"/>
      <c r="N125" s="13"/>
      <c r="O125" s="13"/>
      <c r="P125" s="13"/>
    </row>
    <row r="126" spans="6:16">
      <c r="F126" s="13"/>
      <c r="G126" s="13"/>
      <c r="H126" s="13"/>
      <c r="J126" s="13"/>
      <c r="K126" s="13"/>
      <c r="L126" s="13"/>
      <c r="N126" s="13"/>
      <c r="O126" s="13"/>
      <c r="P126" s="13"/>
    </row>
    <row r="127" spans="6:16">
      <c r="F127" s="13"/>
      <c r="G127" s="13"/>
      <c r="H127" s="13"/>
      <c r="J127" s="13"/>
      <c r="K127" s="13"/>
      <c r="L127" s="13"/>
      <c r="N127" s="13"/>
      <c r="O127" s="13"/>
      <c r="P127" s="13"/>
    </row>
    <row r="128" spans="6:16">
      <c r="F128" s="13"/>
      <c r="G128" s="13"/>
      <c r="H128" s="13"/>
      <c r="J128" s="13"/>
      <c r="K128" s="13"/>
      <c r="L128" s="13"/>
      <c r="N128" s="13"/>
      <c r="O128" s="13"/>
      <c r="P128" s="13"/>
    </row>
    <row r="129" spans="6:16">
      <c r="F129" s="13"/>
      <c r="G129" s="13"/>
      <c r="H129" s="13"/>
      <c r="J129" s="13"/>
      <c r="K129" s="13"/>
      <c r="L129" s="13"/>
      <c r="N129" s="13"/>
      <c r="O129" s="13"/>
      <c r="P129" s="13"/>
    </row>
    <row r="130" spans="6:16">
      <c r="F130" s="13"/>
      <c r="G130" s="13"/>
      <c r="H130" s="13"/>
      <c r="J130" s="13"/>
      <c r="K130" s="13"/>
      <c r="L130" s="13"/>
      <c r="N130" s="13"/>
      <c r="O130" s="13"/>
      <c r="P130" s="13"/>
    </row>
    <row r="131" spans="6:16">
      <c r="F131" s="13"/>
      <c r="G131" s="13"/>
      <c r="H131" s="13"/>
      <c r="J131" s="13"/>
      <c r="K131" s="13"/>
      <c r="L131" s="13"/>
      <c r="N131" s="13"/>
      <c r="O131" s="13"/>
      <c r="P131" s="13"/>
    </row>
    <row r="132" spans="6:16">
      <c r="F132" s="13"/>
      <c r="G132" s="13"/>
      <c r="H132" s="13"/>
      <c r="J132" s="13"/>
      <c r="K132" s="13"/>
      <c r="L132" s="13"/>
      <c r="N132" s="13"/>
      <c r="O132" s="13"/>
      <c r="P132" s="13"/>
    </row>
    <row r="133" spans="6:16">
      <c r="F133" s="13"/>
      <c r="G133" s="13"/>
      <c r="H133" s="13"/>
      <c r="J133" s="13"/>
      <c r="K133" s="13"/>
      <c r="L133" s="13"/>
      <c r="N133" s="13"/>
      <c r="O133" s="13"/>
      <c r="P133" s="13"/>
    </row>
    <row r="134" spans="6:16">
      <c r="F134" s="13"/>
      <c r="G134" s="13"/>
      <c r="H134" s="13"/>
      <c r="J134" s="13"/>
      <c r="K134" s="13"/>
      <c r="L134" s="13"/>
      <c r="N134" s="13"/>
      <c r="O134" s="13"/>
      <c r="P134" s="13"/>
    </row>
    <row r="135" spans="6:16">
      <c r="F135" s="13"/>
      <c r="G135" s="13"/>
      <c r="H135" s="13"/>
      <c r="J135" s="13"/>
      <c r="K135" s="13"/>
      <c r="L135" s="13"/>
      <c r="N135" s="13"/>
      <c r="O135" s="13"/>
      <c r="P135" s="13"/>
    </row>
    <row r="136" spans="6:16">
      <c r="F136" s="13"/>
      <c r="G136" s="13"/>
      <c r="H136" s="13"/>
      <c r="J136" s="13"/>
      <c r="K136" s="13"/>
      <c r="L136" s="13"/>
      <c r="N136" s="13"/>
      <c r="O136" s="13"/>
      <c r="P136" s="13"/>
    </row>
    <row r="137" spans="6:16">
      <c r="F137" s="13"/>
      <c r="G137" s="13"/>
      <c r="H137" s="13"/>
      <c r="J137" s="13"/>
      <c r="K137" s="13"/>
      <c r="L137" s="13"/>
      <c r="N137" s="13"/>
      <c r="O137" s="13"/>
      <c r="P137" s="13"/>
    </row>
    <row r="138" spans="6:16">
      <c r="F138" s="13"/>
      <c r="G138" s="13"/>
      <c r="H138" s="13"/>
      <c r="J138" s="13"/>
      <c r="K138" s="13"/>
      <c r="L138" s="13"/>
      <c r="N138" s="13"/>
      <c r="O138" s="13"/>
      <c r="P138" s="13"/>
    </row>
    <row r="139" spans="6:16">
      <c r="F139" s="13"/>
      <c r="G139" s="13"/>
      <c r="H139" s="13"/>
      <c r="J139" s="13"/>
      <c r="K139" s="13"/>
      <c r="L139" s="13"/>
      <c r="N139" s="13"/>
      <c r="O139" s="13"/>
      <c r="P139" s="13"/>
    </row>
    <row r="140" spans="6:16">
      <c r="F140" s="13"/>
      <c r="G140" s="13"/>
      <c r="H140" s="13"/>
      <c r="J140" s="13"/>
      <c r="K140" s="13"/>
      <c r="L140" s="13"/>
      <c r="N140" s="13"/>
      <c r="O140" s="13"/>
      <c r="P140" s="13"/>
    </row>
    <row r="141" spans="6:16">
      <c r="F141" s="13"/>
      <c r="G141" s="13"/>
      <c r="H141" s="13"/>
      <c r="J141" s="13"/>
      <c r="K141" s="13"/>
      <c r="L141" s="13"/>
      <c r="N141" s="13"/>
      <c r="O141" s="13"/>
      <c r="P141" s="13"/>
    </row>
    <row r="142" spans="6:16">
      <c r="F142" s="13"/>
      <c r="G142" s="13"/>
      <c r="H142" s="13"/>
      <c r="J142" s="13"/>
      <c r="K142" s="13"/>
      <c r="L142" s="13"/>
      <c r="N142" s="13"/>
      <c r="O142" s="13"/>
      <c r="P142" s="13"/>
    </row>
    <row r="143" spans="6:16">
      <c r="F143" s="13"/>
      <c r="G143" s="13"/>
      <c r="H143" s="13"/>
      <c r="J143" s="13"/>
      <c r="K143" s="13"/>
      <c r="L143" s="13"/>
      <c r="N143" s="13"/>
      <c r="O143" s="13"/>
      <c r="P143" s="13"/>
    </row>
    <row r="144" spans="6:16">
      <c r="F144" s="13"/>
      <c r="G144" s="13"/>
      <c r="H144" s="13"/>
      <c r="J144" s="13"/>
      <c r="K144" s="13"/>
      <c r="L144" s="13"/>
      <c r="N144" s="13"/>
      <c r="O144" s="13"/>
      <c r="P144" s="13"/>
    </row>
    <row r="145" spans="6:16">
      <c r="F145" s="13"/>
      <c r="G145" s="13"/>
      <c r="H145" s="13"/>
      <c r="J145" s="13"/>
      <c r="K145" s="13"/>
      <c r="L145" s="13"/>
      <c r="N145" s="13"/>
      <c r="O145" s="13"/>
      <c r="P145" s="13"/>
    </row>
    <row r="146" spans="6:16">
      <c r="F146" s="13"/>
      <c r="G146" s="13"/>
      <c r="H146" s="13"/>
      <c r="J146" s="13"/>
      <c r="K146" s="13"/>
      <c r="L146" s="13"/>
      <c r="N146" s="13"/>
      <c r="O146" s="13"/>
      <c r="P146" s="13"/>
    </row>
    <row r="147" spans="6:16">
      <c r="F147" s="13"/>
      <c r="G147" s="13"/>
      <c r="H147" s="13"/>
      <c r="J147" s="13"/>
      <c r="K147" s="13"/>
      <c r="L147" s="13"/>
      <c r="N147" s="13"/>
      <c r="O147" s="13"/>
      <c r="P147" s="13"/>
    </row>
    <row r="148" spans="6:16">
      <c r="F148" s="13"/>
      <c r="G148" s="13"/>
      <c r="H148" s="13"/>
      <c r="J148" s="13"/>
      <c r="K148" s="13"/>
      <c r="L148" s="13"/>
      <c r="N148" s="13"/>
      <c r="O148" s="13"/>
      <c r="P148" s="13"/>
    </row>
    <row r="149" spans="6:16">
      <c r="F149" s="13"/>
      <c r="G149" s="13"/>
      <c r="H149" s="13"/>
      <c r="J149" s="13"/>
      <c r="K149" s="13"/>
      <c r="L149" s="13"/>
      <c r="N149" s="13"/>
      <c r="O149" s="13"/>
      <c r="P149" s="13"/>
    </row>
    <row r="150" spans="6:16">
      <c r="F150" s="13"/>
      <c r="G150" s="13"/>
      <c r="H150" s="13"/>
      <c r="N150" s="13"/>
      <c r="O150" s="13"/>
      <c r="P150" s="13"/>
    </row>
    <row r="151" spans="6:16">
      <c r="F151" s="13"/>
      <c r="G151" s="13"/>
      <c r="H151" s="13"/>
      <c r="N151" s="13"/>
      <c r="O151" s="13"/>
      <c r="P151" s="13"/>
    </row>
    <row r="152" spans="6:16">
      <c r="F152" s="13"/>
      <c r="G152" s="13"/>
      <c r="H152" s="13"/>
      <c r="N152" s="13"/>
      <c r="O152" s="13"/>
      <c r="P152" s="13"/>
    </row>
    <row r="153" spans="6:16">
      <c r="F153" s="13"/>
      <c r="G153" s="13"/>
      <c r="H153" s="13"/>
      <c r="N153" s="13"/>
      <c r="O153" s="13"/>
      <c r="P153" s="13"/>
    </row>
    <row r="154" spans="6:16">
      <c r="F154" s="13"/>
      <c r="G154" s="13"/>
      <c r="H154" s="13"/>
      <c r="N154" s="13"/>
      <c r="O154" s="13"/>
      <c r="P154" s="13"/>
    </row>
    <row r="155" spans="6:16">
      <c r="F155" s="13"/>
      <c r="G155" s="13"/>
      <c r="H155" s="13"/>
      <c r="N155" s="13"/>
      <c r="O155" s="13"/>
      <c r="P155" s="13"/>
    </row>
    <row r="156" spans="6:16">
      <c r="F156" s="13"/>
      <c r="G156" s="13"/>
      <c r="H156" s="13"/>
      <c r="N156" s="13"/>
      <c r="O156" s="13"/>
      <c r="P156" s="13"/>
    </row>
    <row r="157" spans="6:16">
      <c r="F157" s="13"/>
      <c r="G157" s="13"/>
      <c r="H157" s="13"/>
      <c r="N157" s="13"/>
      <c r="O157" s="13"/>
      <c r="P157" s="13"/>
    </row>
    <row r="158" spans="6:16">
      <c r="F158" s="13"/>
      <c r="G158" s="13"/>
      <c r="H158" s="13"/>
      <c r="N158" s="13"/>
      <c r="O158" s="13"/>
      <c r="P158" s="13"/>
    </row>
    <row r="159" spans="6:16">
      <c r="F159" s="13"/>
      <c r="G159" s="13"/>
      <c r="H159" s="13"/>
      <c r="N159" s="13"/>
      <c r="O159" s="13"/>
      <c r="P159" s="13"/>
    </row>
    <row r="160" spans="6:16">
      <c r="F160" s="13"/>
      <c r="G160" s="13"/>
      <c r="H160" s="13"/>
      <c r="N160" s="13"/>
      <c r="O160" s="13"/>
      <c r="P160" s="13"/>
    </row>
    <row r="161" spans="6:8">
      <c r="F161" s="13"/>
      <c r="G161" s="13"/>
      <c r="H161" s="13"/>
    </row>
    <row r="162" spans="6:8">
      <c r="F162" s="13"/>
      <c r="G162" s="13"/>
      <c r="H162" s="13"/>
    </row>
    <row r="163" spans="6:8">
      <c r="F163" s="13"/>
      <c r="G163" s="13"/>
      <c r="H163" s="13"/>
    </row>
    <row r="164" spans="6:8">
      <c r="F164" s="13"/>
      <c r="G164" s="13"/>
      <c r="H164" s="13"/>
    </row>
    <row r="165" spans="6:8">
      <c r="F165" s="13"/>
      <c r="G165" s="13"/>
      <c r="H165" s="13"/>
    </row>
    <row r="166" spans="6:8">
      <c r="F166" s="13"/>
      <c r="G166" s="13"/>
      <c r="H166" s="13"/>
    </row>
    <row r="167" spans="6:8">
      <c r="F167" s="13"/>
      <c r="G167" s="13"/>
      <c r="H167" s="13"/>
    </row>
    <row r="168" spans="6:8">
      <c r="F168" s="13"/>
      <c r="G168" s="13"/>
      <c r="H168" s="13"/>
    </row>
  </sheetData>
  <mergeCells count="8">
    <mergeCell ref="B1:D1"/>
    <mergeCell ref="F1:H1"/>
    <mergeCell ref="N1:P1"/>
    <mergeCell ref="J1:L1"/>
    <mergeCell ref="B2:D2"/>
    <mergeCell ref="F2:H2"/>
    <mergeCell ref="J2:L2"/>
    <mergeCell ref="N2:P2"/>
  </mergeCells>
  <conditionalFormatting sqref="B86:P86">
    <cfRule type="expression" dxfId="8" priority="2">
      <formula>B$86=0</formula>
    </cfRule>
  </conditionalFormatting>
  <conditionalFormatting sqref="A86">
    <cfRule type="expression" dxfId="7" priority="1">
      <formula>SUM($B$86:$P$86)=0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61" workbookViewId="0">
      <selection activeCell="C83" sqref="C83"/>
    </sheetView>
  </sheetViews>
  <sheetFormatPr defaultRowHeight="15"/>
  <cols>
    <col min="1" max="1" width="33.7109375" customWidth="1"/>
    <col min="2" max="2" width="20.5703125" style="254" customWidth="1"/>
    <col min="3" max="3" width="6.140625" customWidth="1"/>
    <col min="5" max="5" width="12.7109375" bestFit="1" customWidth="1"/>
  </cols>
  <sheetData>
    <row r="1" spans="1:3" ht="20.25" customHeight="1">
      <c r="A1" s="315">
        <f ca="1">ICMS!B1</f>
        <v>45348</v>
      </c>
      <c r="B1" s="314"/>
      <c r="C1" s="295"/>
    </row>
    <row r="2" spans="1:3" ht="15.75" thickBot="1">
      <c r="A2" s="256" t="s">
        <v>315</v>
      </c>
      <c r="B2" s="302" t="s">
        <v>410</v>
      </c>
    </row>
    <row r="3" spans="1:3">
      <c r="A3" t="s">
        <v>4</v>
      </c>
      <c r="B3" s="4">
        <v>59663.81</v>
      </c>
    </row>
    <row r="4" spans="1:3" ht="15" customHeight="1">
      <c r="A4" t="s">
        <v>5</v>
      </c>
      <c r="B4" s="4">
        <v>22985.24</v>
      </c>
    </row>
    <row r="5" spans="1:3">
      <c r="A5" t="s">
        <v>6</v>
      </c>
      <c r="B5" s="4">
        <v>37493.65</v>
      </c>
    </row>
    <row r="6" spans="1:3">
      <c r="A6" t="s">
        <v>7</v>
      </c>
      <c r="B6" s="4">
        <v>38145.71</v>
      </c>
    </row>
    <row r="7" spans="1:3">
      <c r="A7" t="s">
        <v>8</v>
      </c>
      <c r="B7" s="4">
        <v>37330.629999999997</v>
      </c>
    </row>
    <row r="8" spans="1:3">
      <c r="A8" t="s">
        <v>9</v>
      </c>
      <c r="B8" s="4">
        <v>18746.82</v>
      </c>
    </row>
    <row r="9" spans="1:3">
      <c r="A9" t="s">
        <v>10</v>
      </c>
      <c r="B9" s="4">
        <v>346816.24</v>
      </c>
    </row>
    <row r="10" spans="1:3">
      <c r="A10" t="s">
        <v>11</v>
      </c>
      <c r="B10" s="4">
        <v>15323.49</v>
      </c>
    </row>
    <row r="11" spans="1:3">
      <c r="A11" t="s">
        <v>12</v>
      </c>
      <c r="B11" s="4">
        <v>308670.53000000003</v>
      </c>
    </row>
    <row r="12" spans="1:3">
      <c r="A12" t="s">
        <v>13</v>
      </c>
      <c r="B12" s="4">
        <v>26408.57</v>
      </c>
    </row>
    <row r="13" spans="1:3">
      <c r="A13" t="s">
        <v>14</v>
      </c>
      <c r="B13" s="4">
        <v>48334.2</v>
      </c>
    </row>
    <row r="14" spans="1:3" ht="17.25" customHeight="1">
      <c r="A14" t="s">
        <v>15</v>
      </c>
      <c r="B14" s="4">
        <v>72053.010000000009</v>
      </c>
    </row>
    <row r="15" spans="1:3">
      <c r="A15" t="s">
        <v>73</v>
      </c>
      <c r="B15" s="4">
        <v>34151.83</v>
      </c>
    </row>
    <row r="16" spans="1:3" ht="16.5" customHeight="1">
      <c r="A16" t="s">
        <v>16</v>
      </c>
      <c r="B16" s="4">
        <v>13611.82</v>
      </c>
    </row>
    <row r="17" spans="1:2">
      <c r="A17" t="s">
        <v>17</v>
      </c>
      <c r="B17" s="4">
        <v>33907.299999999996</v>
      </c>
    </row>
    <row r="18" spans="1:2" ht="16.5" customHeight="1">
      <c r="A18" t="s">
        <v>18</v>
      </c>
      <c r="B18" s="4">
        <v>224717.36000000002</v>
      </c>
    </row>
    <row r="19" spans="1:2">
      <c r="A19" t="s">
        <v>19</v>
      </c>
      <c r="B19" s="4">
        <v>580499.49</v>
      </c>
    </row>
    <row r="20" spans="1:2">
      <c r="A20" t="s">
        <v>20</v>
      </c>
      <c r="B20" s="4">
        <v>67570.069999999992</v>
      </c>
    </row>
    <row r="21" spans="1:2">
      <c r="A21" t="s">
        <v>21</v>
      </c>
      <c r="B21" s="4">
        <v>174508.48</v>
      </c>
    </row>
    <row r="22" spans="1:2" ht="15" customHeight="1">
      <c r="A22" t="s">
        <v>74</v>
      </c>
      <c r="B22" s="4">
        <v>62027.54</v>
      </c>
    </row>
    <row r="23" spans="1:2" ht="15.75" customHeight="1">
      <c r="A23" t="s">
        <v>75</v>
      </c>
      <c r="B23" s="4">
        <v>33010.71</v>
      </c>
    </row>
    <row r="24" spans="1:2" ht="15" customHeight="1">
      <c r="A24" t="s">
        <v>76</v>
      </c>
      <c r="B24" s="4">
        <v>14671.42</v>
      </c>
    </row>
    <row r="25" spans="1:2" ht="14.25" customHeight="1">
      <c r="A25" t="s">
        <v>22</v>
      </c>
      <c r="B25" s="4">
        <v>98380.069999999992</v>
      </c>
    </row>
    <row r="26" spans="1:2" ht="15.75" customHeight="1">
      <c r="A26" t="s">
        <v>23</v>
      </c>
      <c r="B26" s="4">
        <v>21029.05</v>
      </c>
    </row>
    <row r="27" spans="1:2">
      <c r="A27" t="s">
        <v>24</v>
      </c>
      <c r="B27" s="4">
        <v>57055.549999999996</v>
      </c>
    </row>
    <row r="28" spans="1:2">
      <c r="A28" t="s">
        <v>25</v>
      </c>
      <c r="B28" s="4">
        <v>21844.129999999997</v>
      </c>
    </row>
    <row r="29" spans="1:2" ht="15.75" customHeight="1">
      <c r="A29" t="s">
        <v>26</v>
      </c>
      <c r="B29" s="4">
        <v>39857.379999999997</v>
      </c>
    </row>
    <row r="30" spans="1:2">
      <c r="A30" t="s">
        <v>77</v>
      </c>
      <c r="B30" s="4">
        <v>27468.170000000002</v>
      </c>
    </row>
    <row r="31" spans="1:2">
      <c r="A31" t="s">
        <v>27</v>
      </c>
      <c r="B31" s="4">
        <v>59093.25</v>
      </c>
    </row>
    <row r="32" spans="1:2">
      <c r="A32" t="s">
        <v>28</v>
      </c>
      <c r="B32" s="4">
        <v>27142.14</v>
      </c>
    </row>
    <row r="33" spans="1:2">
      <c r="A33" t="s">
        <v>78</v>
      </c>
      <c r="B33" s="4">
        <v>18502.3</v>
      </c>
    </row>
    <row r="34" spans="1:2">
      <c r="A34" t="s">
        <v>29</v>
      </c>
      <c r="B34" s="4">
        <v>19072.86</v>
      </c>
    </row>
    <row r="35" spans="1:2">
      <c r="A35" t="s">
        <v>30</v>
      </c>
      <c r="B35" s="4">
        <v>23392.77</v>
      </c>
    </row>
    <row r="36" spans="1:2">
      <c r="A36" t="s">
        <v>31</v>
      </c>
      <c r="B36" s="4">
        <v>23474.29</v>
      </c>
    </row>
    <row r="37" spans="1:2">
      <c r="A37" t="s">
        <v>79</v>
      </c>
      <c r="B37" s="4">
        <v>27549.69</v>
      </c>
    </row>
    <row r="38" spans="1:2">
      <c r="A38" t="s">
        <v>32</v>
      </c>
      <c r="B38" s="4">
        <v>310137.67</v>
      </c>
    </row>
    <row r="39" spans="1:2">
      <c r="A39" t="s">
        <v>33</v>
      </c>
      <c r="B39" s="4">
        <v>28772.3</v>
      </c>
    </row>
    <row r="40" spans="1:2">
      <c r="A40" t="s">
        <v>34</v>
      </c>
      <c r="B40" s="4">
        <v>38227.22</v>
      </c>
    </row>
    <row r="41" spans="1:2">
      <c r="A41" t="s">
        <v>35</v>
      </c>
      <c r="B41" s="4">
        <v>87539.520000000004</v>
      </c>
    </row>
    <row r="42" spans="1:2" ht="17.25" customHeight="1">
      <c r="A42" t="s">
        <v>36</v>
      </c>
      <c r="B42" s="4">
        <v>16383.099999999999</v>
      </c>
    </row>
    <row r="43" spans="1:2">
      <c r="A43" t="s">
        <v>37</v>
      </c>
      <c r="B43" s="4">
        <v>31217.539999999997</v>
      </c>
    </row>
    <row r="44" spans="1:2" ht="15" customHeight="1">
      <c r="A44" t="s">
        <v>38</v>
      </c>
      <c r="B44" s="4">
        <v>30728.49</v>
      </c>
    </row>
    <row r="45" spans="1:2">
      <c r="A45" t="s">
        <v>39</v>
      </c>
      <c r="B45" s="4">
        <v>379011.88</v>
      </c>
    </row>
    <row r="46" spans="1:2">
      <c r="A46" t="s">
        <v>40</v>
      </c>
      <c r="B46" s="4">
        <v>20376.98</v>
      </c>
    </row>
    <row r="47" spans="1:2">
      <c r="A47" t="s">
        <v>41</v>
      </c>
      <c r="B47" s="4">
        <v>50208.89</v>
      </c>
    </row>
    <row r="48" spans="1:2" ht="17.25" customHeight="1">
      <c r="A48" t="s">
        <v>42</v>
      </c>
      <c r="B48" s="4">
        <v>46214.990000000005</v>
      </c>
    </row>
    <row r="49" spans="1:2">
      <c r="A49" t="s">
        <v>43</v>
      </c>
      <c r="B49" s="4">
        <v>37493.65</v>
      </c>
    </row>
    <row r="50" spans="1:2">
      <c r="A50" t="s">
        <v>44</v>
      </c>
      <c r="B50" s="4">
        <v>38716.269999999997</v>
      </c>
    </row>
    <row r="51" spans="1:2">
      <c r="A51" t="s">
        <v>45</v>
      </c>
      <c r="B51" s="4">
        <v>43036.18</v>
      </c>
    </row>
    <row r="52" spans="1:2">
      <c r="A52" t="s">
        <v>46</v>
      </c>
      <c r="B52" s="4">
        <v>23881.82</v>
      </c>
    </row>
    <row r="53" spans="1:2">
      <c r="A53" t="s">
        <v>47</v>
      </c>
      <c r="B53" s="4">
        <v>42221.11</v>
      </c>
    </row>
    <row r="54" spans="1:2">
      <c r="A54" t="s">
        <v>48</v>
      </c>
      <c r="B54" s="4">
        <v>21762.62</v>
      </c>
    </row>
    <row r="55" spans="1:2">
      <c r="A55" t="s">
        <v>49</v>
      </c>
      <c r="B55" s="4">
        <v>106693.88</v>
      </c>
    </row>
    <row r="56" spans="1:2">
      <c r="A56" t="s">
        <v>50</v>
      </c>
      <c r="B56" s="4">
        <v>37004.61</v>
      </c>
    </row>
    <row r="57" spans="1:2">
      <c r="A57" t="s">
        <v>51</v>
      </c>
      <c r="B57" s="4">
        <v>25756.5</v>
      </c>
    </row>
    <row r="58" spans="1:2">
      <c r="A58" t="s">
        <v>52</v>
      </c>
      <c r="B58" s="4">
        <v>62109.04</v>
      </c>
    </row>
    <row r="59" spans="1:2">
      <c r="A59" t="s">
        <v>53</v>
      </c>
      <c r="B59" s="4">
        <v>21192.059999999998</v>
      </c>
    </row>
    <row r="60" spans="1:2">
      <c r="A60" t="s">
        <v>54</v>
      </c>
      <c r="B60" s="4">
        <v>17442.7</v>
      </c>
    </row>
    <row r="61" spans="1:2" ht="15.75" customHeight="1">
      <c r="A61" t="s">
        <v>55</v>
      </c>
      <c r="B61" s="4">
        <v>31869.600000000002</v>
      </c>
    </row>
    <row r="62" spans="1:2">
      <c r="A62" t="s">
        <v>56</v>
      </c>
      <c r="B62" s="4">
        <v>73601.659999999989</v>
      </c>
    </row>
    <row r="63" spans="1:2">
      <c r="A63" t="s">
        <v>57</v>
      </c>
      <c r="B63" s="4">
        <v>21110.55</v>
      </c>
    </row>
    <row r="64" spans="1:2" ht="17.25" customHeight="1">
      <c r="A64" t="s">
        <v>58</v>
      </c>
      <c r="B64" s="4">
        <v>42791.66</v>
      </c>
    </row>
    <row r="65" spans="1:2" ht="15.75" customHeight="1">
      <c r="A65" t="s">
        <v>59</v>
      </c>
      <c r="B65" s="4">
        <v>190728.56</v>
      </c>
    </row>
    <row r="66" spans="1:2">
      <c r="A66" t="s">
        <v>60</v>
      </c>
      <c r="B66" s="4">
        <v>51268.490000000005</v>
      </c>
    </row>
    <row r="67" spans="1:2" ht="15.75" customHeight="1">
      <c r="A67" t="s">
        <v>61</v>
      </c>
      <c r="B67" s="4">
        <v>32929.21</v>
      </c>
    </row>
    <row r="68" spans="1:2" ht="15.75" customHeight="1">
      <c r="A68" t="s">
        <v>81</v>
      </c>
      <c r="B68" s="4">
        <v>65369.36</v>
      </c>
    </row>
    <row r="69" spans="1:2" ht="16.5" customHeight="1">
      <c r="A69" t="s">
        <v>82</v>
      </c>
      <c r="B69" s="4">
        <v>19072.86</v>
      </c>
    </row>
    <row r="70" spans="1:2">
      <c r="A70" t="s">
        <v>62</v>
      </c>
      <c r="B70" s="4">
        <v>159103.47999999998</v>
      </c>
    </row>
    <row r="71" spans="1:2" ht="15" customHeight="1">
      <c r="A71" t="s">
        <v>63</v>
      </c>
      <c r="B71" s="4">
        <v>24207.86</v>
      </c>
    </row>
    <row r="72" spans="1:2">
      <c r="A72" t="s">
        <v>64</v>
      </c>
      <c r="B72" s="4">
        <v>1197270</v>
      </c>
    </row>
    <row r="73" spans="1:2">
      <c r="A73" t="s">
        <v>65</v>
      </c>
      <c r="B73" s="4">
        <v>59337.78</v>
      </c>
    </row>
    <row r="74" spans="1:2">
      <c r="A74" t="s">
        <v>66</v>
      </c>
      <c r="B74" s="4">
        <v>39612.85</v>
      </c>
    </row>
    <row r="75" spans="1:2" ht="17.25" customHeight="1">
      <c r="A75" t="s">
        <v>67</v>
      </c>
      <c r="B75" s="4">
        <v>50453.41</v>
      </c>
    </row>
    <row r="76" spans="1:2">
      <c r="A76" t="s">
        <v>68</v>
      </c>
      <c r="B76" s="4">
        <v>230096.89</v>
      </c>
    </row>
    <row r="77" spans="1:2">
      <c r="A77" t="s">
        <v>69</v>
      </c>
      <c r="B77" s="4">
        <v>25511.98</v>
      </c>
    </row>
    <row r="78" spans="1:2">
      <c r="A78" t="s">
        <v>70</v>
      </c>
      <c r="B78" s="4">
        <v>52409.599999999999</v>
      </c>
    </row>
    <row r="79" spans="1:2">
      <c r="A79" t="s">
        <v>71</v>
      </c>
      <c r="B79" s="4">
        <v>405094.42</v>
      </c>
    </row>
    <row r="80" spans="1:2">
      <c r="A80" t="s">
        <v>72</v>
      </c>
      <c r="B80" s="4">
        <v>1128314.29</v>
      </c>
    </row>
    <row r="81" spans="1:6" ht="15.75" thickBot="1">
      <c r="A81" s="257" t="s">
        <v>3</v>
      </c>
      <c r="B81" s="258">
        <f>SUM(B3:B80)</f>
        <v>8150793.0999999996</v>
      </c>
      <c r="C81" s="259"/>
    </row>
    <row r="82" spans="1:6">
      <c r="F82" s="110"/>
    </row>
    <row r="83" spans="1:6" s="99" customFormat="1">
      <c r="A83" s="266" t="s">
        <v>398</v>
      </c>
      <c r="B83" s="267">
        <v>8150793.0999999996</v>
      </c>
      <c r="C83" s="268"/>
      <c r="D83" s="268"/>
      <c r="E83" s="269"/>
    </row>
    <row r="84" spans="1:6" s="99" customFormat="1">
      <c r="A84" s="272" t="s">
        <v>369</v>
      </c>
      <c r="B84" s="273">
        <f>B81-B83</f>
        <v>0</v>
      </c>
      <c r="C84" s="270"/>
      <c r="D84" s="270"/>
      <c r="E84" s="271"/>
    </row>
    <row r="85" spans="1:6">
      <c r="B85" s="255"/>
    </row>
    <row r="86" spans="1:6">
      <c r="D86" s="110"/>
    </row>
    <row r="91" spans="1:6">
      <c r="D91" s="110"/>
    </row>
  </sheetData>
  <conditionalFormatting sqref="B84">
    <cfRule type="expression" dxfId="6" priority="2">
      <formula>B$84=0</formula>
    </cfRule>
  </conditionalFormatting>
  <conditionalFormatting sqref="A84">
    <cfRule type="expression" dxfId="5" priority="1">
      <formula>SUM($B$84:$P$84)=0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opLeftCell="A54" workbookViewId="0">
      <selection activeCell="B84" sqref="B84"/>
    </sheetView>
  </sheetViews>
  <sheetFormatPr defaultRowHeight="15"/>
  <cols>
    <col min="1" max="1" width="30" customWidth="1"/>
    <col min="2" max="2" width="16.42578125" customWidth="1"/>
  </cols>
  <sheetData>
    <row r="1" spans="1:3" ht="20.25" customHeight="1">
      <c r="A1" s="104">
        <f ca="1">ICMS!B1</f>
        <v>45348</v>
      </c>
      <c r="B1" s="105"/>
      <c r="C1" s="87"/>
    </row>
    <row r="2" spans="1:3">
      <c r="A2" s="1" t="s">
        <v>0</v>
      </c>
      <c r="B2" s="98"/>
      <c r="C2" s="87"/>
    </row>
    <row r="3" spans="1:3">
      <c r="A3" t="s">
        <v>4</v>
      </c>
      <c r="B3" s="321"/>
      <c r="C3" s="106"/>
    </row>
    <row r="4" spans="1:3" ht="15" customHeight="1">
      <c r="A4" t="s">
        <v>5</v>
      </c>
      <c r="B4" s="321"/>
      <c r="C4" s="106"/>
    </row>
    <row r="5" spans="1:3">
      <c r="A5" t="s">
        <v>6</v>
      </c>
      <c r="B5" s="321"/>
      <c r="C5" s="106"/>
    </row>
    <row r="6" spans="1:3">
      <c r="A6" t="s">
        <v>7</v>
      </c>
      <c r="B6" s="321"/>
      <c r="C6" s="106"/>
    </row>
    <row r="7" spans="1:3">
      <c r="A7" t="s">
        <v>8</v>
      </c>
      <c r="B7" s="321"/>
      <c r="C7" s="106"/>
    </row>
    <row r="8" spans="1:3">
      <c r="A8" t="s">
        <v>9</v>
      </c>
      <c r="B8" s="321"/>
      <c r="C8" s="106"/>
    </row>
    <row r="9" spans="1:3">
      <c r="A9" t="s">
        <v>10</v>
      </c>
      <c r="B9" s="321"/>
      <c r="C9" s="106"/>
    </row>
    <row r="10" spans="1:3">
      <c r="A10" t="s">
        <v>11</v>
      </c>
      <c r="B10" s="321"/>
      <c r="C10" s="106"/>
    </row>
    <row r="11" spans="1:3">
      <c r="A11" t="s">
        <v>12</v>
      </c>
      <c r="B11" s="321"/>
      <c r="C11" s="106"/>
    </row>
    <row r="12" spans="1:3">
      <c r="A12" t="s">
        <v>13</v>
      </c>
      <c r="B12" s="321"/>
      <c r="C12" s="106"/>
    </row>
    <row r="13" spans="1:3">
      <c r="A13" t="s">
        <v>14</v>
      </c>
      <c r="B13" s="321"/>
      <c r="C13" s="106"/>
    </row>
    <row r="14" spans="1:3" ht="15.75" customHeight="1">
      <c r="A14" t="s">
        <v>15</v>
      </c>
      <c r="B14" s="321"/>
      <c r="C14" s="106"/>
    </row>
    <row r="15" spans="1:3">
      <c r="A15" t="s">
        <v>73</v>
      </c>
      <c r="B15" s="321"/>
      <c r="C15" s="106"/>
    </row>
    <row r="16" spans="1:3" ht="17.25" customHeight="1">
      <c r="A16" t="s">
        <v>16</v>
      </c>
      <c r="B16" s="321"/>
      <c r="C16" s="106"/>
    </row>
    <row r="17" spans="1:3">
      <c r="A17" t="s">
        <v>17</v>
      </c>
      <c r="B17" s="321"/>
      <c r="C17" s="106"/>
    </row>
    <row r="18" spans="1:3" ht="17.25" customHeight="1">
      <c r="A18" t="s">
        <v>18</v>
      </c>
      <c r="B18" s="321"/>
      <c r="C18" s="106"/>
    </row>
    <row r="19" spans="1:3">
      <c r="A19" t="s">
        <v>19</v>
      </c>
      <c r="B19" s="321"/>
      <c r="C19" s="106"/>
    </row>
    <row r="20" spans="1:3">
      <c r="A20" t="s">
        <v>20</v>
      </c>
      <c r="B20" s="321"/>
      <c r="C20" s="106"/>
    </row>
    <row r="21" spans="1:3">
      <c r="A21" t="s">
        <v>21</v>
      </c>
      <c r="B21" s="321"/>
      <c r="C21" s="106"/>
    </row>
    <row r="22" spans="1:3">
      <c r="A22" t="s">
        <v>74</v>
      </c>
      <c r="B22" s="321"/>
      <c r="C22" s="106"/>
    </row>
    <row r="23" spans="1:3">
      <c r="A23" t="s">
        <v>75</v>
      </c>
      <c r="B23" s="321"/>
      <c r="C23" s="106"/>
    </row>
    <row r="24" spans="1:3">
      <c r="A24" t="s">
        <v>76</v>
      </c>
      <c r="B24" s="321"/>
      <c r="C24" s="106"/>
    </row>
    <row r="25" spans="1:3">
      <c r="A25" t="s">
        <v>22</v>
      </c>
      <c r="B25" s="321"/>
      <c r="C25" s="106"/>
    </row>
    <row r="26" spans="1:3">
      <c r="A26" t="s">
        <v>23</v>
      </c>
      <c r="B26" s="321"/>
      <c r="C26" s="106"/>
    </row>
    <row r="27" spans="1:3">
      <c r="A27" t="s">
        <v>24</v>
      </c>
      <c r="B27" s="321"/>
      <c r="C27" s="106"/>
    </row>
    <row r="28" spans="1:3">
      <c r="A28" t="s">
        <v>25</v>
      </c>
      <c r="B28" s="321"/>
      <c r="C28" s="106"/>
    </row>
    <row r="29" spans="1:3">
      <c r="A29" t="s">
        <v>26</v>
      </c>
      <c r="B29" s="321"/>
      <c r="C29" s="106"/>
    </row>
    <row r="30" spans="1:3">
      <c r="A30" t="s">
        <v>77</v>
      </c>
      <c r="B30" s="321"/>
      <c r="C30" s="106"/>
    </row>
    <row r="31" spans="1:3">
      <c r="A31" t="s">
        <v>27</v>
      </c>
      <c r="B31" s="321"/>
      <c r="C31" s="106"/>
    </row>
    <row r="32" spans="1:3">
      <c r="A32" t="s">
        <v>28</v>
      </c>
      <c r="B32" s="321"/>
      <c r="C32" s="106"/>
    </row>
    <row r="33" spans="1:3">
      <c r="A33" t="s">
        <v>78</v>
      </c>
      <c r="B33" s="321"/>
      <c r="C33" s="106"/>
    </row>
    <row r="34" spans="1:3">
      <c r="A34" t="s">
        <v>29</v>
      </c>
      <c r="B34" s="321"/>
      <c r="C34" s="106"/>
    </row>
    <row r="35" spans="1:3">
      <c r="A35" t="s">
        <v>30</v>
      </c>
      <c r="B35" s="321"/>
      <c r="C35" s="106"/>
    </row>
    <row r="36" spans="1:3">
      <c r="A36" t="s">
        <v>31</v>
      </c>
      <c r="B36" s="321"/>
      <c r="C36" s="106"/>
    </row>
    <row r="37" spans="1:3">
      <c r="A37" t="s">
        <v>79</v>
      </c>
      <c r="B37" s="321"/>
      <c r="C37" s="106"/>
    </row>
    <row r="38" spans="1:3">
      <c r="A38" t="s">
        <v>32</v>
      </c>
      <c r="B38" s="321"/>
      <c r="C38" s="106"/>
    </row>
    <row r="39" spans="1:3">
      <c r="A39" t="s">
        <v>33</v>
      </c>
      <c r="B39" s="321"/>
      <c r="C39" s="106"/>
    </row>
    <row r="40" spans="1:3">
      <c r="A40" t="s">
        <v>34</v>
      </c>
      <c r="B40" s="321"/>
      <c r="C40" s="106"/>
    </row>
    <row r="41" spans="1:3">
      <c r="A41" t="s">
        <v>35</v>
      </c>
      <c r="B41" s="321"/>
      <c r="C41" s="106"/>
    </row>
    <row r="42" spans="1:3">
      <c r="A42" t="s">
        <v>36</v>
      </c>
      <c r="B42" s="321"/>
      <c r="C42" s="106"/>
    </row>
    <row r="43" spans="1:3">
      <c r="A43" t="s">
        <v>37</v>
      </c>
      <c r="B43" s="321"/>
      <c r="C43" s="106"/>
    </row>
    <row r="44" spans="1:3">
      <c r="A44" t="s">
        <v>38</v>
      </c>
      <c r="B44" s="321"/>
      <c r="C44" s="106"/>
    </row>
    <row r="45" spans="1:3">
      <c r="A45" t="s">
        <v>39</v>
      </c>
      <c r="B45" s="321"/>
      <c r="C45" s="106"/>
    </row>
    <row r="46" spans="1:3">
      <c r="A46" t="s">
        <v>40</v>
      </c>
      <c r="B46" s="321"/>
      <c r="C46" s="106"/>
    </row>
    <row r="47" spans="1:3">
      <c r="A47" t="s">
        <v>41</v>
      </c>
      <c r="B47" s="321"/>
      <c r="C47" s="106"/>
    </row>
    <row r="48" spans="1:3">
      <c r="A48" t="s">
        <v>42</v>
      </c>
      <c r="B48" s="321"/>
      <c r="C48" s="106"/>
    </row>
    <row r="49" spans="1:3">
      <c r="A49" t="s">
        <v>43</v>
      </c>
      <c r="B49" s="321"/>
      <c r="C49" s="106"/>
    </row>
    <row r="50" spans="1:3">
      <c r="A50" t="s">
        <v>44</v>
      </c>
      <c r="B50" s="321"/>
      <c r="C50" s="106"/>
    </row>
    <row r="51" spans="1:3">
      <c r="A51" t="s">
        <v>45</v>
      </c>
      <c r="B51" s="321"/>
      <c r="C51" s="106"/>
    </row>
    <row r="52" spans="1:3">
      <c r="A52" t="s">
        <v>46</v>
      </c>
      <c r="B52" s="321"/>
      <c r="C52" s="106"/>
    </row>
    <row r="53" spans="1:3">
      <c r="A53" t="s">
        <v>47</v>
      </c>
      <c r="B53" s="321"/>
      <c r="C53" s="106"/>
    </row>
    <row r="54" spans="1:3">
      <c r="A54" t="s">
        <v>48</v>
      </c>
      <c r="B54" s="321"/>
      <c r="C54" s="106"/>
    </row>
    <row r="55" spans="1:3">
      <c r="A55" t="s">
        <v>49</v>
      </c>
      <c r="B55" s="321"/>
      <c r="C55" s="106"/>
    </row>
    <row r="56" spans="1:3">
      <c r="A56" t="s">
        <v>50</v>
      </c>
      <c r="B56" s="321"/>
      <c r="C56" s="106"/>
    </row>
    <row r="57" spans="1:3">
      <c r="A57" t="s">
        <v>51</v>
      </c>
      <c r="B57" s="321"/>
      <c r="C57" s="106"/>
    </row>
    <row r="58" spans="1:3">
      <c r="A58" t="s">
        <v>52</v>
      </c>
      <c r="B58" s="321"/>
      <c r="C58" s="106"/>
    </row>
    <row r="59" spans="1:3">
      <c r="A59" t="s">
        <v>53</v>
      </c>
      <c r="B59" s="321"/>
      <c r="C59" s="106"/>
    </row>
    <row r="60" spans="1:3">
      <c r="A60" t="s">
        <v>54</v>
      </c>
      <c r="B60" s="321"/>
      <c r="C60" s="106"/>
    </row>
    <row r="61" spans="1:3">
      <c r="A61" t="s">
        <v>55</v>
      </c>
      <c r="B61" s="321"/>
      <c r="C61" s="106"/>
    </row>
    <row r="62" spans="1:3">
      <c r="A62" t="s">
        <v>56</v>
      </c>
      <c r="B62" s="321"/>
      <c r="C62" s="106"/>
    </row>
    <row r="63" spans="1:3">
      <c r="A63" t="s">
        <v>57</v>
      </c>
      <c r="B63" s="321"/>
      <c r="C63" s="106"/>
    </row>
    <row r="64" spans="1:3">
      <c r="A64" t="s">
        <v>58</v>
      </c>
      <c r="B64" s="321"/>
      <c r="C64" s="106"/>
    </row>
    <row r="65" spans="1:3">
      <c r="A65" t="s">
        <v>59</v>
      </c>
      <c r="B65" s="321"/>
      <c r="C65" s="106"/>
    </row>
    <row r="66" spans="1:3">
      <c r="A66" t="s">
        <v>60</v>
      </c>
      <c r="B66" s="321"/>
      <c r="C66" s="106"/>
    </row>
    <row r="67" spans="1:3">
      <c r="A67" t="s">
        <v>61</v>
      </c>
      <c r="B67" s="321"/>
      <c r="C67" s="106"/>
    </row>
    <row r="68" spans="1:3">
      <c r="A68" t="s">
        <v>81</v>
      </c>
      <c r="B68" s="321"/>
      <c r="C68" s="106"/>
    </row>
    <row r="69" spans="1:3">
      <c r="A69" t="s">
        <v>82</v>
      </c>
      <c r="B69" s="321"/>
      <c r="C69" s="106"/>
    </row>
    <row r="70" spans="1:3">
      <c r="A70" t="s">
        <v>62</v>
      </c>
      <c r="B70" s="321"/>
      <c r="C70" s="106"/>
    </row>
    <row r="71" spans="1:3">
      <c r="A71" t="s">
        <v>63</v>
      </c>
      <c r="B71" s="321"/>
      <c r="C71" s="106"/>
    </row>
    <row r="72" spans="1:3">
      <c r="A72" t="s">
        <v>64</v>
      </c>
      <c r="B72" s="321"/>
      <c r="C72" s="106"/>
    </row>
    <row r="73" spans="1:3">
      <c r="A73" t="s">
        <v>65</v>
      </c>
      <c r="B73" s="321"/>
      <c r="C73" s="106"/>
    </row>
    <row r="74" spans="1:3">
      <c r="A74" t="s">
        <v>66</v>
      </c>
      <c r="B74" s="321"/>
      <c r="C74" s="106"/>
    </row>
    <row r="75" spans="1:3">
      <c r="A75" t="s">
        <v>67</v>
      </c>
      <c r="B75" s="321"/>
      <c r="C75" s="106"/>
    </row>
    <row r="76" spans="1:3">
      <c r="A76" t="s">
        <v>68</v>
      </c>
      <c r="B76" s="321"/>
      <c r="C76" s="106"/>
    </row>
    <row r="77" spans="1:3">
      <c r="A77" t="s">
        <v>69</v>
      </c>
      <c r="B77" s="321"/>
      <c r="C77" s="106"/>
    </row>
    <row r="78" spans="1:3">
      <c r="A78" t="s">
        <v>70</v>
      </c>
      <c r="B78" s="321"/>
      <c r="C78" s="106"/>
    </row>
    <row r="79" spans="1:3">
      <c r="A79" t="s">
        <v>71</v>
      </c>
      <c r="B79" s="321"/>
      <c r="C79" s="106"/>
    </row>
    <row r="80" spans="1:3">
      <c r="A80" t="s">
        <v>72</v>
      </c>
      <c r="B80" s="321"/>
      <c r="C80" s="106"/>
    </row>
    <row r="81" spans="1:3">
      <c r="A81" s="109" t="s">
        <v>3</v>
      </c>
      <c r="B81" s="107">
        <f>SUM(B3:B80)</f>
        <v>0</v>
      </c>
      <c r="C81" s="108"/>
    </row>
    <row r="83" spans="1:3" s="99" customFormat="1">
      <c r="A83" s="100" t="s">
        <v>309</v>
      </c>
      <c r="B83" s="325">
        <v>0</v>
      </c>
    </row>
    <row r="84" spans="1:3">
      <c r="A84" s="102" t="s">
        <v>316</v>
      </c>
      <c r="B84" s="103">
        <f>B81-B83</f>
        <v>0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s D A A B Q S w M E F A A C A A g A x 4 S s V F l Y 3 q 2 n A A A A + A A A A B I A H A B D b 2 5 m a W c v U G F j a 2 F n Z S 5 4 b W w g o h g A K K A U A A A A A A A A A A A A A A A A A A A A A A A A A A A A h Y 9 B D o I w F A W v Q r q n n 6 I S J Z + S 6 F Y S o 4 l x 2 5 Q K j V A I F O F u L j y S V 5 B E U X c u 3 2 Q W 8 x 6 3 O 8 Z D W T h X 1 b S 6 M h F h 1 C O O M r J K t c k i 0 t m z u y Q x x 5 2 Q F 5 E p Z 5 R N G w 5 t G p H c 2 j o E 6 P u e 9 j N a N R n 4 n s f g l G w P M l e l I B 9 Z / 5 d d b V o r j F S E 4 / E V w 3 0 a M L p g K 5 / O A 4 Y w Y U y 0 + S r + W E w 9 h B + I m 6 6 w X a N 4 b d 3 1 H m G a C O 8 X / A l Q S w M E F A A C A A g A x 4 S s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e E r F R k s j s w w g A A A O 0 A A A A T A B w A R m 9 y b X V s Y X M v U 2 V j d G l v b j E u b S C i G A A o o B Q A A A A A A A A A A A A A A A A A A A A A A A A A A A B N j r G K g 0 A Q h n v B d / h J d S m U n K R K S L G u u 2 E g 7 l 4 c N 2 l s w m X h B F G I v k G K g 3 s t X y y L a W 6 K m f 8 b + O A f / f f U D j 3 4 f T / 3 c R R H 4 8 / t 4 e + o 1 T h 5 H N D 5 K Y 4 Q R g / 9 8 t B D d / e P V L e d H z 9 W 1 1 1 z V N I e G 3 a a 5 H s n o j o 7 u l h u C l V a w 3 U l 6 o A o B C N k w 1 p V 8 5 + R F F h Y R u k M S f q i I G S b L G s K C g r l j u b f + W k h p C t T l M q w O C E X R n G t o F B Y B A e L s d k i g c g r J A G W 5 q t 1 H L X 9 v + b 7 F 1 B L A Q I t A B Q A A g A I A M e E r F R Z W N 6 t p w A A A P g A A A A S A A A A A A A A A A A A A A A A A A A A A A B D b 2 5 m a W c v U G F j a 2 F n Z S 5 4 b W x Q S w E C L Q A U A A I A C A D H h K x U D 8 r p q 6 Q A A A D p A A A A E w A A A A A A A A A A A A A A A A D z A A A A W 0 N v b n R l b n R f V H l w Z X N d L n h t b F B L A Q I t A B Q A A g A I A M e E r F R k s j s w w g A A A O 0 A A A A T A A A A A A A A A A A A A A A A A O Q B A A B G b 3 J t d W x h c y 9 T Z W N 0 a W 9 u M S 5 t U E s F B g A A A A A D A A M A w g A A A P M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s K A A A A A A A A u Q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F c 3 R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Q b G F u a W x o Y T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J U M T k 6 M z c 6 M z M u N z I 5 O D g z O V o i I C 8 + P E V u d H J 5 I F R 5 c G U 9 I k Z p b G x D b 2 x 1 b W 5 U e X B l c y I g V m F s d W U 9 I n N F Q V l H Q n d j S E J n P T 0 i I C 8 + P E V u d H J 5 I F R 5 c G U 9 I k Z p b G x D b 2 x 1 b W 5 O Y W 1 l c y I g V m F s d W U 9 I n N b J n F 1 b 3 Q 7 Q 2 9 u d G V u d C Z x d W 9 0 O y w m c X V v d D t O Y W 1 l J n F 1 b 3 Q 7 L C Z x d W 9 0 O 0 V 4 d G V u c 2 l v b i Z x d W 9 0 O y w m c X V v d D t E Y X R l I G F j Y 2 V z c 2 V k J n F 1 b 3 Q 7 L C Z x d W 9 0 O 0 R h d G U g b W 9 k a W Z p Z W Q m c X V v d D s s J n F 1 b 3 Q 7 R G F 0 Z S B j c m V h d G V k J n F 1 b 3 Q 7 L C Z x d W 9 0 O 0 Z v b G R l c i B Q Y X R o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J n F 1 b 3 Q 7 R m 9 s Z G V y I F B h d G g m c X V v d D s s J n F 1 b 3 Q 7 T m F t Z S Z x d W 9 0 O 1 0 s J n F 1 b 3 Q 7 c X V l c n l S Z W x h d G l v b n N o a X B z J n F 1 b 3 Q 7 O l t d L C Z x d W 9 0 O 2 N v b H V t b k l k Z W 5 0 a X R p Z X M m c X V v d D s 6 W y Z x d W 9 0 O 1 N l Y 3 R p b 2 4 x L 1 R F c 3 R l L 0 Z v b n R l L n t D b 2 5 0 Z W 5 0 L D B 9 J n F 1 b 3 Q 7 L C Z x d W 9 0 O 1 N l Y 3 R p b 2 4 x L 1 R F c 3 R l L 0 Z v b n R l L n t O Y W 1 l L D F 9 J n F 1 b 3 Q 7 L C Z x d W 9 0 O 1 N l Y 3 R p b 2 4 x L 1 R F c 3 R l L 0 Z v b n R l L n t F e H R l b n N p b 2 4 s M n 0 m c X V v d D s s J n F 1 b 3 Q 7 U 2 V j d G l v b j E v V E V z d G U v R m 9 u d G U u e 0 R h d G U g Y W N j Z X N z Z W Q s M 3 0 m c X V v d D s s J n F 1 b 3 Q 7 U 2 V j d G l v b j E v V E V z d G U v R m 9 u d G U u e 0 R h d G U g b W 9 k a W Z p Z W Q s N H 0 m c X V v d D s s J n F 1 b 3 Q 7 U 2 V j d G l v b j E v V E V z d G U v R m 9 u d G U u e 0 R h d G U g Y 3 J l Y X R l Z C w 1 f S Z x d W 9 0 O y w m c X V v d D t T Z W N 0 a W 9 u M S 9 U R X N 0 Z S 9 G b 2 5 0 Z S 5 7 R m 9 s Z G V y I F B h d G g s N 3 0 m c X V v d D t d L C Z x d W 9 0 O 0 N v b H V t b k N v d W 5 0 J n F 1 b 3 Q 7 O j c s J n F 1 b 3 Q 7 S 2 V 5 Q 2 9 s d W 1 u T m F t Z X M m c X V v d D s 6 W y Z x d W 9 0 O 0 Z v b G R l c i B Q Y X R o J n F 1 b 3 Q 7 L C Z x d W 9 0 O 0 5 h b W U m c X V v d D t d L C Z x d W 9 0 O 0 N v b H V t b k l k Z W 5 0 a X R p Z X M m c X V v d D s 6 W y Z x d W 9 0 O 1 N l Y 3 R p b 2 4 x L 1 R F c 3 R l L 0 Z v b n R l L n t D b 2 5 0 Z W 5 0 L D B 9 J n F 1 b 3 Q 7 L C Z x d W 9 0 O 1 N l Y 3 R p b 2 4 x L 1 R F c 3 R l L 0 Z v b n R l L n t O Y W 1 l L D F 9 J n F 1 b 3 Q 7 L C Z x d W 9 0 O 1 N l Y 3 R p b 2 4 x L 1 R F c 3 R l L 0 Z v b n R l L n t F e H R l b n N p b 2 4 s M n 0 m c X V v d D s s J n F 1 b 3 Q 7 U 2 V j d G l v b j E v V E V z d G U v R m 9 u d G U u e 0 R h d G U g Y W N j Z X N z Z W Q s M 3 0 m c X V v d D s s J n F 1 b 3 Q 7 U 2 V j d G l v b j E v V E V z d G U v R m 9 u d G U u e 0 R h d G U g b W 9 k a W Z p Z W Q s N H 0 m c X V v d D s s J n F 1 b 3 Q 7 U 2 V j d G l v b j E v V E V z d G U v R m 9 u d G U u e 0 R h d G U g Y 3 J l Y X R l Z C w 1 f S Z x d W 9 0 O y w m c X V v d D t T Z W N 0 a W 9 u M S 9 U R X N 0 Z S 9 G b 2 5 0 Z S 5 7 R m 9 s Z G V y I F B h d G g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F c 3 R l L 0 Z v b n R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e P K u V k G v x H g U s 0 i r 7 g G f A A A A A A A g A A A A A A A 2 Y A A M A A A A A Q A A A A f O U l X J L i O 4 w c r U / r n g m L z A A A A A A E g A A A o A A A A B A A A A A f o o y c s y Y i F x y B 4 U K A H 2 0 r U A A A A E Z S i 4 B y t O w / U 9 d e z A K b J v 4 D Y z M p c a d v j 8 R L Z F X b 9 S W N 5 9 0 k X N n N k s o n h 1 f Y S + K S 9 S p i 2 y m B n c D g z S R m K f q l G S p s w J P d b u q 3 U w f 2 o 1 3 4 B E l L F A A A A M 3 L / H / v I 6 g 2 P o u 9 a T W u k u e X g p J p < / D a t a M a s h u p > 
</file>

<file path=customXml/itemProps1.xml><?xml version="1.0" encoding="utf-8"?>
<ds:datastoreItem xmlns:ds="http://schemas.openxmlformats.org/officeDocument/2006/customXml" ds:itemID="{1838CBB2-D144-4A05-B3BF-0102B179A55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</vt:i4>
      </vt:variant>
    </vt:vector>
  </HeadingPairs>
  <TitlesOfParts>
    <vt:vector size="14" baseType="lpstr">
      <vt:lpstr>Publicação </vt:lpstr>
      <vt:lpstr>SECONT</vt:lpstr>
      <vt:lpstr>ICMS</vt:lpstr>
      <vt:lpstr>IPI</vt:lpstr>
      <vt:lpstr>IPI EXP</vt:lpstr>
      <vt:lpstr>ipi CONV</vt:lpstr>
      <vt:lpstr>IPVA</vt:lpstr>
      <vt:lpstr>ROYALTIES</vt:lpstr>
      <vt:lpstr>CIDE</vt:lpstr>
      <vt:lpstr>LC 194 + 201</vt:lpstr>
      <vt:lpstr>Estornos</vt:lpstr>
      <vt:lpstr>Conferência</vt:lpstr>
      <vt:lpstr>Balancete</vt:lpstr>
      <vt:lpstr>'Publicação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pedro.cypriano</dc:creator>
  <cp:lastModifiedBy>Luan Camargo Carneiro</cp:lastModifiedBy>
  <cp:lastPrinted>2024-03-18T18:56:06Z</cp:lastPrinted>
  <dcterms:created xsi:type="dcterms:W3CDTF">2020-03-04T20:23:32Z</dcterms:created>
  <dcterms:modified xsi:type="dcterms:W3CDTF">2024-03-27T18:34:53Z</dcterms:modified>
</cp:coreProperties>
</file>